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ZcpyQOWMwjSemGDEHddusk0YxVYnicPC+7yIbDPngvHll8dXdbkjwob5CRs5g9C5g9n1PWtS3UDYDYh9gdfPIw==" workbookSaltValue="nVNErRbvFUyWyFvzNLVb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C19" i="8" s="1"/>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T13" i="12"/>
  <c r="T13" i="20"/>
  <c r="BG12" i="8"/>
  <c r="BD9" i="8"/>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7" l="1"/>
  <c r="AQ17" i="17" s="1"/>
  <c r="AM19" i="8"/>
  <c r="AK19" i="8"/>
  <c r="AA19" i="8"/>
  <c r="AI19" i="8"/>
  <c r="BG10" i="8"/>
  <c r="K10" i="7" s="1"/>
  <c r="I10" i="3"/>
  <c r="R19" i="8"/>
  <c r="T19" i="8"/>
  <c r="N13" i="2"/>
  <c r="H9" i="7"/>
  <c r="BG9" i="8"/>
  <c r="K9" i="7" s="1"/>
  <c r="BE9" i="8"/>
  <c r="BE12" i="8"/>
  <c r="R8" i="9"/>
  <c r="AY13" i="13"/>
  <c r="F17" i="16"/>
  <c r="BL17" i="16"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AM15" i="11"/>
  <c r="J12" i="7"/>
  <c r="AO12" i="17"/>
  <c r="B12" i="6"/>
  <c r="D12" i="6"/>
  <c r="J12" i="12" s="1"/>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0" i="12" l="1"/>
  <c r="K9" i="12"/>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L19" i="11"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H20" i="16"/>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S20" i="17"/>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<sst xmlns="http://schemas.openxmlformats.org/spreadsheetml/2006/main" count="2094" uniqueCount="913">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</sst>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LUARgedy94oXyGp0YonuCzN/wTiNciy/Ph7ms1ylOLn3omrEJJcXjLX4jH1HteATT5X1AmDnCgpbAqIH6tbgA==" saltValue="BOsL7gbo5FS71dSBgrGl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18.653111219990201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17</v>
      </c>
      <c r="F10" s="229">
        <f>IF(ISNUMBER(Datos!K10),Datos!K10," - ")</f>
        <v>13</v>
      </c>
      <c r="G10" s="1037" t="str">
        <f>IF(Datos!E10&lt;&gt;"",Datos!E10,Datos!D10)</f>
        <v>37</v>
      </c>
      <c r="H10" s="230">
        <f>IF(ISNUMBER(Datos!L10),Datos!L10," - ")</f>
        <v>24</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20.30769230769231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17</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3</v>
      </c>
      <c r="B15" s="505" t="str">
        <f>Datos!A15</f>
        <v xml:space="preserve">Jdos. Instrucción                               </v>
      </c>
      <c r="C15" s="228">
        <f t="shared" ref="C15:C17" si="2">IF(ISNUMBER(H15-E15+F15),H15-E15+F15," - ")</f>
        <v>1622</v>
      </c>
      <c r="D15" s="228">
        <f>IF(ISNUMBER(IF(D_I="SI",Datos!I15,Datos!I15+Datos!AC15)),IF(D_I="SI",Datos!I15,Datos!I15+Datos!AC15)," - ")</f>
        <v>1674</v>
      </c>
      <c r="E15" s="229">
        <f>IF(ISNUMBER(IF(D_I="SI",Datos!J15,Datos!J15+Datos!AD15)),IF(D_I="SI",Datos!J15,Datos!J15+Datos!AD15)," - ")</f>
        <v>1417</v>
      </c>
      <c r="F15" s="229">
        <f>IF(ISNUMBER(IF(D_I="SI",Datos!K15,Datos!K15+Datos!AE15)),IF(D_I="SI",Datos!K15,Datos!K15+Datos!AE15)," - ")</f>
        <v>1188</v>
      </c>
      <c r="G15" s="1037" t="str">
        <f>IF(Datos!E15&lt;&gt;"",Datos!E15,Datos!D15)</f>
        <v>03</v>
      </c>
      <c r="H15" s="230">
        <f>IF(ISNUMBER(IF(D_I="SI",Datos!L15,Datos!L15+Datos!AF15)),IF(D_I="SI",Datos!L15,Datos!L15+Datos!AF15)," - ")</f>
        <v>1851</v>
      </c>
      <c r="I15" s="1047" t="str">
        <f>IF(ISNUMBER(Datos!AS15/Datos!BM15),Datos!AS15/Datos!BM15," - ")</f>
        <v xml:space="preserve"> - </v>
      </c>
      <c r="J15" s="1048">
        <f>IF(ISNUMBER(Datos!BY15/Datos!CN15),Datos!BY15/Datos!CN15," - ")</f>
        <v>0</v>
      </c>
      <c r="K15" s="233">
        <f t="shared" ref="K15:K17" si="3">IF(ISNUMBER((E15-F15)/C15),(E15-F15)/C15," - ")</f>
        <v>0.14118372379778052</v>
      </c>
      <c r="L15" s="1028">
        <f>IF(ISNUMBER(NºAsuntos!I15/NºAsuntos!G15),(NºAsuntos!I15/NºAsuntos!G15)*11," - ")</f>
        <v>17.138888888888889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173</v>
      </c>
      <c r="D17" s="228">
        <f>IF(ISNUMBER(IF(D_I="SI",Datos!I17,Datos!I17+Datos!AC17)),IF(D_I="SI",Datos!I17,Datos!I17+Datos!AC17)," - ")</f>
        <v>194</v>
      </c>
      <c r="E17" s="229">
        <f>IF(ISNUMBER(IF(D_I="SI",Datos!J17,Datos!J17+Datos!AD17)),IF(D_I="SI",Datos!J17,Datos!J17+Datos!AD17)," - ")</f>
        <v>128</v>
      </c>
      <c r="F17" s="229">
        <f>IF(ISNUMBER(IF(D_I="SI",Datos!K17,Datos!K17+Datos!AE17)),IF(D_I="SI",Datos!K17,Datos!K17+Datos!AE17)," - ")</f>
        <v>88</v>
      </c>
      <c r="G17" s="1037" t="str">
        <f>IF(Datos!E17&lt;&gt;"",Datos!E17,Datos!D17)</f>
        <v>37</v>
      </c>
      <c r="H17" s="230">
        <f>IF(ISNUMBER(IF(D_I="SI",Datos!L17,Datos!L17+Datos!AF17)),IF(D_I="SI",Datos!L17,Datos!L17+Datos!AF17)," - ")</f>
        <v>213</v>
      </c>
      <c r="I17" s="1047" t="str">
        <f>IF(ISNUMBER(Datos!AS17/Datos!BM17),Datos!AS17/Datos!BM17," - ")</f>
        <v xml:space="preserve"> - </v>
      </c>
      <c r="J17" s="1048" t="str">
        <f>IF(ISNUMBER((Datos!BY17+Datos!BZ17)/Datos!CN17),(Datos!BY17+Datos!BZ17)/Datos!CN17," - ")</f>
        <v xml:space="preserve"> - </v>
      </c>
      <c r="K17" s="233">
        <f t="shared" si="3"/>
        <v>0.23121387283236994</v>
      </c>
      <c r="L17" s="1028">
        <f>IF(ISNUMBER(NºAsuntos!I17/NºAsuntos!G17),(NºAsuntos!I17/NºAsuntos!G17)*11," - ")</f>
        <v>26.625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1795</v>
      </c>
      <c r="D18" s="1052">
        <f>SUBTOTAL(9,D15:D17)</f>
        <v>1868</v>
      </c>
      <c r="E18" s="1053">
        <f>SUBTOTAL(9,E15:E17)</f>
        <v>1545</v>
      </c>
      <c r="F18" s="1053">
        <f>SUBTOTAL(9,F15:F17)</f>
        <v>1276</v>
      </c>
      <c r="G18" s="1055" t="str">
        <f ca="1">INDIRECT(CONCATENATE("G",ROW()-1))</f>
        <v>37</v>
      </c>
      <c r="H18" s="1056">
        <f ca="1">SUMIF(G$14:G17,G18,H$14:H17)</f>
        <v>213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1815</v>
      </c>
      <c r="D19" s="1074">
        <f>SUBTOTAL(9,D9:D18)</f>
        <v>1888</v>
      </c>
      <c r="E19" s="1075">
        <f>SUBTOTAL(9,E9:E18)</f>
        <v>1562</v>
      </c>
      <c r="F19" s="1075">
        <f>SUBTOTAL(9,F9:F18)</f>
        <v>1289</v>
      </c>
      <c r="G19" s="1076"/>
      <c r="H19" s="1077">
        <f ca="1">SUMIF(B9:B18,"TOTAL",H9:H18)</f>
        <v>213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aiK+KICZZJ7zg4WrMtML3Qm5LvJWDztENcSyDLBXa0I9JSWj5H/YAp+78uPdGmaDrvR3YCRRWFBB2HqVH/PCw==" saltValue="X8p4weW4GIIs2zha3b18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K/qUBNWxjt0EBeKCT6CNpnvE99dQdaPpel0S9zLwIZAeo82E+KcdKgIZl/rgQ2s9YWDc40F9+hNCYGRZFlCAA==" saltValue="66ZV/CQKRhYv7YXwv0S9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3302</v>
      </c>
      <c r="J9" s="184">
        <v>2070</v>
      </c>
      <c r="K9" s="184">
        <v>1921</v>
      </c>
      <c r="L9" s="184">
        <v>3408</v>
      </c>
      <c r="M9" s="184">
        <v>596</v>
      </c>
      <c r="N9" s="184">
        <v>593</v>
      </c>
      <c r="O9" s="184">
        <v>819</v>
      </c>
      <c r="P9" s="184">
        <v>414</v>
      </c>
      <c r="Q9" s="184">
        <v>126</v>
      </c>
      <c r="R9" s="184">
        <v>4718</v>
      </c>
      <c r="S9" s="184">
        <v>0</v>
      </c>
      <c r="T9" s="184">
        <v>0</v>
      </c>
      <c r="U9" s="184">
        <v>0</v>
      </c>
      <c r="V9" s="184">
        <v>0</v>
      </c>
      <c r="W9" s="184">
        <v>0</v>
      </c>
      <c r="X9" s="191">
        <v>0</v>
      </c>
      <c r="Y9" s="194">
        <v>69</v>
      </c>
      <c r="Z9" s="184">
        <v>101</v>
      </c>
      <c r="AA9" s="184">
        <v>120</v>
      </c>
      <c r="AB9" s="184">
        <v>53</v>
      </c>
      <c r="AC9" s="184">
        <v>0</v>
      </c>
      <c r="AD9" s="184">
        <v>0</v>
      </c>
      <c r="AE9" s="184">
        <v>0</v>
      </c>
      <c r="AF9" s="191">
        <v>0</v>
      </c>
      <c r="AG9" s="194">
        <v>0</v>
      </c>
      <c r="AH9" s="184">
        <v>0</v>
      </c>
      <c r="AI9" s="184">
        <v>0</v>
      </c>
      <c r="AJ9" s="195">
        <v>0</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f>IF(ISNUMBER(X9),X9," - ")</f>
        <v>0</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17</v>
      </c>
      <c r="K10" s="184">
        <v>13</v>
      </c>
      <c r="L10" s="184">
        <v>24</v>
      </c>
      <c r="M10" s="184">
        <v>6</v>
      </c>
      <c r="N10" s="184">
        <v>5</v>
      </c>
      <c r="O10" s="184">
        <v>1</v>
      </c>
      <c r="P10" s="184">
        <v>1</v>
      </c>
      <c r="Q10" s="184">
        <v>0</v>
      </c>
      <c r="R10" s="184">
        <v>44</v>
      </c>
      <c r="S10" s="184">
        <v>19</v>
      </c>
      <c r="T10" s="184">
        <v>20</v>
      </c>
      <c r="U10" s="184">
        <v>11</v>
      </c>
      <c r="V10" s="184">
        <v>28</v>
      </c>
      <c r="W10" s="184">
        <v>7</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19</v>
      </c>
      <c r="AZ10" s="129">
        <f t="shared" si="0"/>
        <v>20</v>
      </c>
      <c r="BA10" s="129">
        <f t="shared" si="0"/>
        <v>11</v>
      </c>
      <c r="BB10" s="129">
        <f t="shared" si="0"/>
        <v>28</v>
      </c>
      <c r="BC10" s="125">
        <f t="shared" si="0"/>
        <v>7</v>
      </c>
      <c r="BD10" s="126">
        <f>IF(ISNUMBER(BA10/AZ10),BA10/AZ10," - ")</f>
        <v>0.55000000000000004</v>
      </c>
      <c r="BE10" s="127">
        <f>IF(ISNUMBER(BB10/BA10),BB10/BA10, " - ")</f>
        <v>2.5454545454545454</v>
      </c>
      <c r="BF10" s="127">
        <f>IF(ISNUMBER(BC10/BA10),BC10/BA10, " - ")</f>
        <v>0.63636363636363635</v>
      </c>
      <c r="BG10" s="199">
        <f>IF(ISNUMBER((AY10+AZ10)/BA10),(AY10+AZ10)/BA10," - ")</f>
        <v>3.5454545454545454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3322</v>
      </c>
      <c r="J13" s="187">
        <f t="shared" si="6"/>
        <v>2087</v>
      </c>
      <c r="K13" s="187">
        <f t="shared" si="6"/>
        <v>1934</v>
      </c>
      <c r="L13" s="187">
        <f t="shared" si="6"/>
        <v>3432</v>
      </c>
      <c r="M13" s="187">
        <f t="shared" si="6"/>
        <v>602</v>
      </c>
      <c r="N13" s="187">
        <f t="shared" si="6"/>
        <v>598</v>
      </c>
      <c r="O13" s="187">
        <f t="shared" si="6"/>
        <v>820</v>
      </c>
      <c r="P13" s="187">
        <f t="shared" si="6"/>
        <v>415</v>
      </c>
      <c r="Q13" s="187">
        <f t="shared" si="6"/>
        <v>126</v>
      </c>
      <c r="R13" s="187">
        <f t="shared" si="6"/>
        <v>4762</v>
      </c>
      <c r="S13" s="187">
        <f t="shared" si="6"/>
        <v>19</v>
      </c>
      <c r="T13" s="187">
        <f t="shared" si="6"/>
        <v>20</v>
      </c>
      <c r="U13" s="187">
        <f t="shared" si="6"/>
        <v>11</v>
      </c>
      <c r="V13" s="187">
        <f t="shared" si="6"/>
        <v>28</v>
      </c>
      <c r="W13" s="187">
        <f t="shared" si="6"/>
        <v>7</v>
      </c>
      <c r="X13" s="187">
        <f t="shared" si="6"/>
        <v>3</v>
      </c>
      <c r="Y13" s="187">
        <f t="shared" si="6"/>
        <v>69</v>
      </c>
      <c r="Z13" s="187">
        <f t="shared" si="6"/>
        <v>101</v>
      </c>
      <c r="AA13" s="187">
        <f t="shared" si="6"/>
        <v>120</v>
      </c>
      <c r="AB13" s="187">
        <f t="shared" si="6"/>
        <v>53</v>
      </c>
      <c r="AC13" s="187">
        <f t="shared" si="6"/>
        <v>0</v>
      </c>
      <c r="AD13" s="187">
        <f t="shared" si="6"/>
        <v>0</v>
      </c>
      <c r="AE13" s="187">
        <f t="shared" si="6"/>
        <v>0</v>
      </c>
      <c r="AF13" s="187">
        <f>SUBTOTAL(9,AF9:AF12)</f>
        <v>0</v>
      </c>
      <c r="AG13" s="187">
        <f t="shared" ref="AG13:AT13" si="7">SUBTOTAL(9,AG8:AG12)</f>
        <v>0</v>
      </c>
      <c r="AH13" s="187">
        <f t="shared" si="7"/>
        <v>0</v>
      </c>
      <c r="AI13" s="187">
        <f t="shared" si="7"/>
        <v>0</v>
      </c>
      <c r="AJ13" s="187">
        <f t="shared" si="7"/>
        <v>0</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19</v>
      </c>
      <c r="AZ13" s="187">
        <f>SUBTOTAL(9,AZ8:AZ12)</f>
        <v>20</v>
      </c>
      <c r="BA13" s="187">
        <f>SUBTOTAL(9,BA8:BA12)</f>
        <v>11</v>
      </c>
      <c r="BB13" s="187">
        <f>SUBTOTAL(9,BB8:BB12)</f>
        <v>28</v>
      </c>
      <c r="BC13" s="187">
        <f>SUBTOTAL(9,BC8:BC12)</f>
        <v>7</v>
      </c>
      <c r="BD13" s="208">
        <f>IF(ISNUMBER(BA13/AZ13),BA13/AZ13," - ")</f>
        <v>0.55000000000000004</v>
      </c>
      <c r="BE13" s="209">
        <f>IF(ISNUMBER(BB13/BA13),BB13/BA13, " - ")</f>
        <v>2.5454545454545454</v>
      </c>
      <c r="BF13" s="209">
        <f>IF(ISNUMBER(BC13/BA13),BC13/BA13, " - ")</f>
        <v>0.63636363636363635</v>
      </c>
      <c r="BG13" s="210">
        <f>IF(ISNUMBER((AY13+AZ13)/BA13),(AY13+AZ13)/BA13," - ")</f>
        <v>3.5454545454545454</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1674</v>
      </c>
      <c r="J15" s="186">
        <v>1417</v>
      </c>
      <c r="K15" s="186">
        <v>1188</v>
      </c>
      <c r="L15" s="186">
        <v>1851</v>
      </c>
      <c r="M15" s="186">
        <v>152</v>
      </c>
      <c r="N15" s="186">
        <v>791</v>
      </c>
      <c r="O15" s="184">
        <v>81</v>
      </c>
      <c r="P15" s="186">
        <v>85</v>
      </c>
      <c r="Q15" s="186">
        <v>89</v>
      </c>
      <c r="R15" s="186">
        <v>221</v>
      </c>
      <c r="S15" s="186">
        <v>0</v>
      </c>
      <c r="T15" s="186">
        <v>0</v>
      </c>
      <c r="U15" s="186">
        <v>0</v>
      </c>
      <c r="V15" s="186">
        <v>0</v>
      </c>
      <c r="W15" s="186">
        <v>0</v>
      </c>
      <c r="X15" s="192">
        <v>0</v>
      </c>
      <c r="Y15" s="205">
        <v>0</v>
      </c>
      <c r="Z15" s="186">
        <v>0</v>
      </c>
      <c r="AA15" s="186">
        <v>0</v>
      </c>
      <c r="AB15" s="186">
        <v>0</v>
      </c>
      <c r="AC15" s="186">
        <v>0</v>
      </c>
      <c r="AD15" s="186">
        <v>0</v>
      </c>
      <c r="AE15" s="186">
        <v>0</v>
      </c>
      <c r="AF15" s="192">
        <v>0</v>
      </c>
      <c r="AG15" s="205">
        <v>0</v>
      </c>
      <c r="AH15" s="186">
        <v>0</v>
      </c>
      <c r="AI15" s="186">
        <v>0</v>
      </c>
      <c r="AJ15" s="206">
        <v>0</v>
      </c>
      <c r="AK15" s="185">
        <v>0</v>
      </c>
      <c r="AL15" s="186">
        <v>0</v>
      </c>
      <c r="AM15" s="186">
        <v>0</v>
      </c>
      <c r="AN15" s="192">
        <v>0</v>
      </c>
      <c r="AO15" s="262">
        <v>3</v>
      </c>
      <c r="AP15" s="158">
        <v>3</v>
      </c>
      <c r="AQ15" s="158">
        <v>3</v>
      </c>
      <c r="AR15" s="158">
        <v>3</v>
      </c>
      <c r="AS15" s="343" t="s">
        <v>531</v>
      </c>
      <c r="AT15" s="206" t="s">
        <v>329</v>
      </c>
      <c r="AU15" s="205"/>
      <c r="AV15" s="206"/>
      <c r="AW15" s="205"/>
      <c r="AX15" s="206"/>
      <c r="AY15" s="128">
        <f t="shared" ref="AY15:BB16" si="9">IF(ISNUMBER(IF(D_I="SI",S15,S15+AK15)),IF(D_I="SI",S15,S15+AK15)," - ")</f>
        <v>0</v>
      </c>
      <c r="AZ15" s="129">
        <f t="shared" si="9"/>
        <v>0</v>
      </c>
      <c r="BA15" s="129">
        <f t="shared" si="9"/>
        <v>0</v>
      </c>
      <c r="BB15" s="129">
        <f t="shared" si="9"/>
        <v>0</v>
      </c>
      <c r="BC15" s="125">
        <f>IF(ISNUMBER(W15),W15," - ")</f>
        <v>0</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194</v>
      </c>
      <c r="J17" s="186">
        <v>128</v>
      </c>
      <c r="K17" s="186">
        <v>88</v>
      </c>
      <c r="L17" s="186">
        <v>213</v>
      </c>
      <c r="M17" s="186">
        <v>14</v>
      </c>
      <c r="N17" s="186">
        <v>61</v>
      </c>
      <c r="O17" s="186">
        <v>0</v>
      </c>
      <c r="P17" s="186">
        <v>7</v>
      </c>
      <c r="Q17" s="186">
        <v>8</v>
      </c>
      <c r="R17" s="186">
        <v>2</v>
      </c>
      <c r="S17" s="186">
        <v>86</v>
      </c>
      <c r="T17" s="186">
        <v>112</v>
      </c>
      <c r="U17" s="186">
        <v>91</v>
      </c>
      <c r="V17" s="186">
        <v>107</v>
      </c>
      <c r="W17" s="186">
        <v>21</v>
      </c>
      <c r="X17" s="192">
        <v>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86</v>
      </c>
      <c r="AZ17" s="129">
        <f t="shared" si="14"/>
        <v>112</v>
      </c>
      <c r="BA17" s="129">
        <f t="shared" si="14"/>
        <v>91</v>
      </c>
      <c r="BB17" s="129">
        <f t="shared" si="14"/>
        <v>107</v>
      </c>
      <c r="BC17" s="125">
        <f>IF(ISNUMBER(W17),W17," - ")</f>
        <v>21</v>
      </c>
      <c r="BD17" s="126">
        <f>IF(ISNUMBER(BA17/AZ17),BA17/AZ17," - ")</f>
        <v>0.8125</v>
      </c>
      <c r="BE17" s="127">
        <f>IF(ISNUMBER(BB17/BA17),BB17/BA17, " - ")</f>
        <v>1.1758241758241759</v>
      </c>
      <c r="BF17" s="127">
        <f>IF(ISNUMBER(BC17/BA17),BC17/BA17, " - ")</f>
        <v>0.23076923076923078</v>
      </c>
      <c r="BG17" s="199">
        <f>IF(ISNUMBER((AY17+AZ17)/BA17),(AY17+AZ17)/BA17," - ")</f>
        <v>2.1758241758241756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1868</v>
      </c>
      <c r="J18" s="187">
        <f t="shared" si="15"/>
        <v>1545</v>
      </c>
      <c r="K18" s="187">
        <f t="shared" si="15"/>
        <v>1276</v>
      </c>
      <c r="L18" s="187">
        <f t="shared" si="15"/>
        <v>2064</v>
      </c>
      <c r="M18" s="187">
        <f t="shared" si="15"/>
        <v>166</v>
      </c>
      <c r="N18" s="187">
        <f t="shared" si="15"/>
        <v>852</v>
      </c>
      <c r="O18" s="187">
        <f t="shared" si="15"/>
        <v>81</v>
      </c>
      <c r="P18" s="187">
        <f t="shared" si="15"/>
        <v>92</v>
      </c>
      <c r="Q18" s="187">
        <f t="shared" si="15"/>
        <v>97</v>
      </c>
      <c r="R18" s="187">
        <f t="shared" si="15"/>
        <v>223</v>
      </c>
      <c r="S18" s="187">
        <f t="shared" si="15"/>
        <v>86</v>
      </c>
      <c r="T18" s="187">
        <f t="shared" si="15"/>
        <v>112</v>
      </c>
      <c r="U18" s="187">
        <f t="shared" si="15"/>
        <v>91</v>
      </c>
      <c r="V18" s="187">
        <f t="shared" si="15"/>
        <v>107</v>
      </c>
      <c r="W18" s="187">
        <f t="shared" si="15"/>
        <v>21</v>
      </c>
      <c r="X18" s="187">
        <f t="shared" si="15"/>
        <v>52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86</v>
      </c>
      <c r="AZ18" s="187">
        <f>SUBTOTAL(9,AZ14:AZ17)</f>
        <v>112</v>
      </c>
      <c r="BA18" s="187">
        <f>SUBTOTAL(9,BA14:BA17)</f>
        <v>91</v>
      </c>
      <c r="BB18" s="187">
        <f>SUBTOTAL(9,BB14:BB17)</f>
        <v>107</v>
      </c>
      <c r="BC18" s="187">
        <f>SUBTOTAL(9,BC14:BC17)</f>
        <v>21</v>
      </c>
      <c r="BD18" s="208">
        <f>IF(ISNUMBER(BA18/AZ18),BA18/AZ18," - ")</f>
        <v>0.8125</v>
      </c>
      <c r="BE18" s="209">
        <f>IF(ISNUMBER(BB18/BA18),BB18/BA18, " - ")</f>
        <v>1.1758241758241759</v>
      </c>
      <c r="BF18" s="209">
        <f>IF(ISNUMBER(BC18/BA18),BC18/BA18, " - ")</f>
        <v>0.23076923076923078</v>
      </c>
      <c r="BG18" s="210">
        <f>IF(ISNUMBER((AY18+AZ18)/BA18),(AY18+AZ18)/BA18," - ")</f>
        <v>2.1758241758241756</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5190</v>
      </c>
      <c r="J19" s="134">
        <f t="shared" si="18"/>
        <v>3632</v>
      </c>
      <c r="K19" s="134">
        <f t="shared" si="18"/>
        <v>3210</v>
      </c>
      <c r="L19" s="134">
        <f t="shared" si="18"/>
        <v>5496</v>
      </c>
      <c r="M19" s="134">
        <f t="shared" si="18"/>
        <v>768</v>
      </c>
      <c r="N19" s="134">
        <f t="shared" si="18"/>
        <v>1450</v>
      </c>
      <c r="O19" s="134">
        <f t="shared" si="18"/>
        <v>901</v>
      </c>
      <c r="P19" s="134">
        <f t="shared" si="18"/>
        <v>507</v>
      </c>
      <c r="Q19" s="134">
        <f t="shared" si="18"/>
        <v>223</v>
      </c>
      <c r="R19" s="134">
        <f t="shared" si="18"/>
        <v>4985</v>
      </c>
      <c r="S19" s="134">
        <f t="shared" si="18"/>
        <v>105</v>
      </c>
      <c r="T19" s="134">
        <f t="shared" si="18"/>
        <v>132</v>
      </c>
      <c r="U19" s="134">
        <f t="shared" si="18"/>
        <v>102</v>
      </c>
      <c r="V19" s="134">
        <f t="shared" si="18"/>
        <v>135</v>
      </c>
      <c r="W19" s="134">
        <f t="shared" si="18"/>
        <v>28</v>
      </c>
      <c r="X19" s="134">
        <f t="shared" si="18"/>
        <v>55</v>
      </c>
      <c r="Y19" s="134">
        <f t="shared" si="18"/>
        <v>69</v>
      </c>
      <c r="Z19" s="134">
        <f t="shared" si="18"/>
        <v>101</v>
      </c>
      <c r="AA19" s="134">
        <f t="shared" si="18"/>
        <v>120</v>
      </c>
      <c r="AB19" s="134">
        <f t="shared" si="18"/>
        <v>53</v>
      </c>
      <c r="AC19" s="134">
        <f t="shared" si="18"/>
        <v>0</v>
      </c>
      <c r="AD19" s="134">
        <f t="shared" si="18"/>
        <v>0</v>
      </c>
      <c r="AE19" s="134">
        <f t="shared" si="18"/>
        <v>0</v>
      </c>
      <c r="AF19" s="134">
        <f t="shared" si="18"/>
        <v>0</v>
      </c>
      <c r="AG19" s="134">
        <f t="shared" si="18"/>
        <v>0</v>
      </c>
      <c r="AH19" s="134">
        <f t="shared" si="18"/>
        <v>0</v>
      </c>
      <c r="AI19" s="134">
        <f t="shared" si="18"/>
        <v>0</v>
      </c>
      <c r="AJ19" s="134">
        <f t="shared" si="18"/>
        <v>0</v>
      </c>
      <c r="AK19" s="134">
        <f t="shared" si="18"/>
        <v>0</v>
      </c>
      <c r="AL19" s="134">
        <f t="shared" si="18"/>
        <v>0</v>
      </c>
      <c r="AM19" s="134">
        <f t="shared" si="18"/>
        <v>0</v>
      </c>
      <c r="AN19" s="213">
        <f t="shared" si="18"/>
        <v>0</v>
      </c>
      <c r="AO19" s="214">
        <v>9</v>
      </c>
      <c r="AP19" s="214">
        <v>8</v>
      </c>
      <c r="AQ19" s="214">
        <v>8</v>
      </c>
      <c r="AR19" s="214">
        <v>8</v>
      </c>
      <c r="AS19" s="156">
        <f t="shared" si="18"/>
        <v>0</v>
      </c>
      <c r="AT19" s="156">
        <f t="shared" si="18"/>
        <v>0</v>
      </c>
      <c r="AU19" s="214"/>
      <c r="AV19" s="215"/>
      <c r="AW19" s="214"/>
      <c r="AX19" s="215"/>
      <c r="AY19" s="133">
        <f>SUBTOTAL(9,AY9:AY18)</f>
        <v>105</v>
      </c>
      <c r="AZ19" s="134">
        <f>SUBTOTAL(9,AZ9:AZ18)</f>
        <v>132</v>
      </c>
      <c r="BA19" s="134">
        <f>SUBTOTAL(9,BA9:BA18)</f>
        <v>102</v>
      </c>
      <c r="BB19" s="134">
        <f>SUBTOTAL(9,BB9:BB18)</f>
        <v>135</v>
      </c>
      <c r="BC19" s="135">
        <f>SUBTOTAL(9,BC9:BC18)</f>
        <v>28</v>
      </c>
      <c r="BD19" s="216">
        <f>IF(ISNUMBER(BA19/AZ19),BA19/AZ19," - ")</f>
        <v>0.77272727272727271</v>
      </c>
      <c r="BE19" s="213">
        <f>IF(ISNUMBER(BB19/BA19),BB19/BA19, " - ")</f>
        <v>1.3235294117647058</v>
      </c>
      <c r="BF19" s="213">
        <f>IF(ISNUMBER(BC19/BA19),BC19/BA19, " - ")</f>
        <v>0.27450980392156865</v>
      </c>
      <c r="BG19" s="135">
        <f>IF(ISNUMBER((AY19+AZ19)/BA19),(AY19+AZ19)/BA19," - ")</f>
        <v>2.3235294117647061</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4itMl7T71hmcHJXm9+rMTRJ7JUnEQKELAqT714xlSRgSr1jQk7XTXPe8ZYUHiLeEAadiIyi43wyiXnb+fhAA==" saltValue="v7IM2xJQiTuQozCZSK7X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hd1JEZjdOqUeRdxQBWf5p5e1bx56H9FFykIjLTg/R8h7DZs7fwVF+XOyNQ5s9+WW+QbnGXXzKRHjPeYgc96IA==" saltValue="PXKz95ghUG43ORYXEl9P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PONFERRADA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101</v>
      </c>
      <c r="O9" s="337"/>
      <c r="P9" s="337"/>
      <c r="Q9" s="229">
        <f>IF(ISNUMBER(Datos!P9),Datos!P9,0)</f>
        <v>414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126</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53</v>
      </c>
      <c r="AI9" s="337" t="str">
        <f>IF(ISNUMBER(Datos!CD9),Datos!CD9,"-")</f>
        <v>-</v>
      </c>
      <c r="AJ9" s="337" t="str">
        <f>IF(ISNUMBER(Datos!EN9),Datos!EN9," - ")</f>
        <v xml:space="preserve"> - </v>
      </c>
      <c r="AK9" s="337"/>
      <c r="AL9" s="482"/>
      <c r="AM9" s="338">
        <f>IF(ISNUMBER(Datos!R9),Datos!R9," - ")</f>
        <v>4718</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596</v>
      </c>
      <c r="BD9" s="232">
        <f>IF(ISNUMBER(Datos!N9),Datos!N9," - ")</f>
        <v>593</v>
      </c>
      <c r="BE9" s="232" t="str">
        <f>IF(ISNUMBER(Datos!BW9),Datos!BW9," - ")</f>
        <v xml:space="preserve"> - </v>
      </c>
      <c r="BF9" s="231" t="str">
        <f>IF(ISNUMBER(Datos!BX9),Datos!BX9," - ")</f>
        <v xml:space="preserve"> - </v>
      </c>
      <c r="BG9" s="246">
        <f>IF(ISNUMBER(IF(J_V="SI",Datos!K9/Datos!J9,(Datos!K9+Datos!AA9)/(Datos!J9+Datos!Z9))),IF(J_V="SI",Datos!K9/Datos!J9,(Datos!K9+Datos!AA9)/(Datos!J9+Datos!Z9))," - ")</f>
        <v>0.94011976047904189</v>
      </c>
      <c r="BH9" s="263">
        <f>IF(ISNUMBER(((IF(J_V="SI",Datos!L9/Datos!K9,(Datos!L9+Datos!AB9)/(Datos!K9+Datos!AA9)))*11)/factor_trimestre),((IF(J_V="SI",Datos!L9/Datos!K9,(Datos!L9+Datos!AB9)/(Datos!K9+Datos!AA9)))*11)/factor_trimestre," - ")</f>
        <v>5.087212150906419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6.5011286681715574E-2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0</v>
      </c>
      <c r="AD10" s="337"/>
      <c r="AE10" s="487"/>
      <c r="AF10" s="335">
        <f>IF(ISNUMBER(Datos!L10),Datos!L10,"-")</f>
        <v>24</v>
      </c>
      <c r="AG10" s="337"/>
      <c r="AH10" s="337"/>
      <c r="AI10" s="337"/>
      <c r="AJ10" s="337"/>
      <c r="AK10" s="337"/>
      <c r="AL10" s="482"/>
      <c r="AM10" s="338">
        <f>IF(ISNUMBER(Datos!R10),Datos!R10," - ")</f>
        <v>44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5</v>
      </c>
      <c r="BE10" s="232" t="str">
        <f>IF(ISNUMBER(Datos!BW10),Datos!BW10," - ")</f>
        <v xml:space="preserve"> - </v>
      </c>
      <c r="BF10" s="231" t="str">
        <f>IF(ISNUMBER(Datos!BX10),Datos!BX10," - ")</f>
        <v xml:space="preserve"> - </v>
      </c>
      <c r="BG10" s="246">
        <f>IF(ISNUMBER(Datos!K10/Datos!J10),Datos!K10/Datos!J10," - ")</f>
        <v>0.76470588235294112</v>
      </c>
      <c r="BH10" s="263">
        <f>IF(ISNUMBER(((Datos!L10/Datos!K10)*11)/factor_trimestre),((Datos!L10/Datos!K10)*11)/factor_trimestre," - ")</f>
        <v>5.5384615384615392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2.3255813953488372E-2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101</v>
      </c>
      <c r="O13" s="903">
        <f t="shared" si="0"/>
        <v>0</v>
      </c>
      <c r="P13" s="903">
        <f t="shared" si="0"/>
        <v>0</v>
      </c>
      <c r="Q13" s="902">
        <f t="shared" si="0"/>
        <v>415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126</v>
      </c>
      <c r="AD13" s="902">
        <f t="shared" si="1"/>
        <v>0</v>
      </c>
      <c r="AE13" s="902">
        <f t="shared" si="1"/>
        <v>0</v>
      </c>
      <c r="AF13" s="902">
        <f t="shared" si="1"/>
        <v>24</v>
      </c>
      <c r="AG13" s="902">
        <f t="shared" si="1"/>
        <v>0</v>
      </c>
      <c r="AH13" s="902">
        <f t="shared" si="1"/>
        <v>53</v>
      </c>
      <c r="AI13" s="902">
        <f t="shared" si="1"/>
        <v>0</v>
      </c>
      <c r="AJ13" s="902">
        <f t="shared" si="1"/>
        <v>0</v>
      </c>
      <c r="AK13" s="902">
        <f t="shared" si="1"/>
        <v>0</v>
      </c>
      <c r="AL13" s="902">
        <f t="shared" si="1"/>
        <v>0</v>
      </c>
      <c r="AM13" s="902">
        <f t="shared" si="1"/>
        <v>4762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602</v>
      </c>
      <c r="BD13" s="902">
        <f t="shared" si="1"/>
        <v>598</v>
      </c>
      <c r="BE13" s="902">
        <f t="shared" si="1"/>
        <v>0</v>
      </c>
      <c r="BF13" s="902">
        <f t="shared" si="1"/>
        <v>0</v>
      </c>
      <c r="BG13" s="902">
        <f>IF(ISNUMBER(Datos!K13/Datos!J13),Datos!K13/Datos!J13," - ")</f>
        <v>0.92668902731193104</v>
      </c>
      <c r="BH13" s="906">
        <f>IF(ISNUMBER(((Datos!L13/Datos!K13)*11)/factor_trimestre),((Datos!L13/Datos!K13)*11)/factor_trimestre," - ")</f>
        <v>5.3236814891416753</v>
      </c>
      <c r="BI13" s="902">
        <f>IF(ISNUMBER('Resol  Asuntos'!D13/NºAsuntos!G13),'Resol  Asuntos'!D13/NºAsuntos!G13," - ")</f>
        <v>0.29308666017526774</v>
      </c>
      <c r="BJ13" s="902" t="str">
        <f>IF(ISNUMBER(Datos!CI13/Datos!CJ13),Datos!CI13/Datos!CJ13," - ")</f>
        <v xml:space="preserve"> - </v>
      </c>
      <c r="BK13" s="902">
        <f>SUBTOTAL(9,BK8:BK12)</f>
        <v>0</v>
      </c>
      <c r="BL13" s="902">
        <f>IF(ISNUMBER((I13-AB13+L13)/(F13)),(I13-AB13+L13)/(F13)," - ")</f>
        <v>-0.65</v>
      </c>
      <c r="BM13" s="907">
        <f>SUBTOTAL(9,BM9:BM12)</f>
        <v>8.8267100635203946E-2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3</v>
      </c>
      <c r="B15" s="597" t="s">
        <v>400</v>
      </c>
      <c r="C15" s="603" t="str">
        <f>Datos!A15</f>
        <v xml:space="preserve">Jdos. Instrucción                               </v>
      </c>
      <c r="D15" s="604"/>
      <c r="E15" s="1168">
        <f>IF(ISNUMBER(Datos!AQ15),Datos!AQ15," - ")</f>
        <v>3</v>
      </c>
      <c r="F15" s="598">
        <f>IF(ISNUMBER(AF15+AB15-Datos!J15-L15),AF15+AB15-Datos!J15-L15," - ")</f>
        <v>1622</v>
      </c>
      <c r="G15" s="601">
        <f>IF(ISNUMBER(IF(D_I="SI",Datos!I15,Datos!I15+Datos!AC15)),IF(D_I="SI",Datos!I15,Datos!I15+Datos!AC15)," - ")</f>
        <v>1674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85</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1188</v>
      </c>
      <c r="AC15" s="229">
        <f>IF(ISNUMBER(Datos!Q15),Datos!Q15," - ")</f>
        <v>89</v>
      </c>
      <c r="AD15" s="337"/>
      <c r="AE15" s="487"/>
      <c r="AF15" s="599">
        <f>IF(ISNUMBER(IF(D_I="SI",Datos!L15,Datos!L15+Datos!AF15)),IF(D_I="SI",Datos!L15,Datos!L15+Datos!AF15)," - ")</f>
        <v>1851</v>
      </c>
      <c r="AG15" s="337"/>
      <c r="AH15" s="337"/>
      <c r="AI15" s="337"/>
      <c r="AJ15" s="337"/>
      <c r="AK15" s="337"/>
      <c r="AL15" s="482"/>
      <c r="AM15" s="338">
        <f>IF(ISNUMBER(Datos!R15),Datos!R15," - ")</f>
        <v>221</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152</v>
      </c>
      <c r="BD15" s="232">
        <f>IF(ISNUMBER(Datos!N15),Datos!N15," - ")</f>
        <v>791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0.83839096683133385</v>
      </c>
      <c r="BH15" s="263">
        <f>IF(ISNUMBER(((IF(D_I="SI",Datos!L15/Datos!K15,(Datos!L15+Datos!AF15)/(Datos!K15+Datos!AE15)))*11)/factor_trimestre),((IF(D_I="SI",Datos!L15/Datos!K15,(Datos!L15+Datos!AF15)/(Datos!K15+Datos!AE15)))*11)/factor_trimestre," - ")</f>
        <v>4.6742424242424248</v>
      </c>
      <c r="BI15" s="246">
        <f>IF(ISNUMBER('Resol  Asuntos'!D15/NºAsuntos!G15),'Resol  Asuntos'!D15/NºAsuntos!G15," - ")</f>
        <v>0.12794612794612795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88</v>
      </c>
      <c r="AC17" s="229">
        <f>IF(ISNUMBER(Datos!Q17),Datos!Q17," - ")</f>
        <v>8</v>
      </c>
      <c r="AD17" s="337"/>
      <c r="AE17" s="487"/>
      <c r="AF17" s="335">
        <f>IF(ISNUMBER(Datos!L17),Datos!L17,"-")</f>
        <v>213</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14</v>
      </c>
      <c r="BD17" s="232">
        <f>IF(ISNUMBER(Datos!N17),Datos!N17," - ")</f>
        <v>61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0.6875</v>
      </c>
      <c r="BH17" s="263">
        <f>IF(ISNUMBER(((IF(D_I="SI",Datos!L17/Datos!K17,(Datos!L17+Datos!AF17)/(Datos!K17+Datos!AE17)))*11)/factor_trimestre),((IF(D_I="SI",Datos!L17/Datos!K17,(Datos!L17+Datos!AF17)/(Datos!K17+Datos!AE17)))*11)/factor_trimestre," - ")</f>
        <v>7.2613636363636367</v>
      </c>
      <c r="BI17" s="246">
        <f>IF(ISNUMBER('Resol  Asuntos'!D17/NºAsuntos!G17),'Resol  Asuntos'!D17/NºAsuntos!G17," - ")</f>
        <v>0.15909090909090909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1622</v>
      </c>
      <c r="G18" s="901">
        <f>SUBTOTAL(9,G15:G17)</f>
        <v>1868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1276</v>
      </c>
      <c r="AC18" s="902">
        <f t="shared" si="4"/>
        <v>97</v>
      </c>
      <c r="AD18" s="902">
        <f t="shared" si="4"/>
        <v>0</v>
      </c>
      <c r="AE18" s="902">
        <f t="shared" si="4"/>
        <v>0</v>
      </c>
      <c r="AF18" s="902">
        <f t="shared" si="4"/>
        <v>2064</v>
      </c>
      <c r="AG18" s="902">
        <f t="shared" si="4"/>
        <v>0</v>
      </c>
      <c r="AH18" s="902">
        <f t="shared" si="4"/>
        <v>0</v>
      </c>
      <c r="AI18" s="902">
        <f t="shared" si="4"/>
        <v>0</v>
      </c>
      <c r="AJ18" s="902">
        <f t="shared" si="4"/>
        <v>0</v>
      </c>
      <c r="AK18" s="902">
        <f t="shared" si="4"/>
        <v>0</v>
      </c>
      <c r="AL18" s="902">
        <f t="shared" si="4"/>
        <v>0</v>
      </c>
      <c r="AM18" s="902">
        <f t="shared" si="4"/>
        <v>223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166</v>
      </c>
      <c r="BD18" s="902">
        <f t="shared" si="4"/>
        <v>852</v>
      </c>
      <c r="BE18" s="902">
        <f t="shared" si="4"/>
        <v>0</v>
      </c>
      <c r="BF18" s="902">
        <f t="shared" si="4"/>
        <v>0</v>
      </c>
      <c r="BG18" s="902">
        <f>IF(ISNUMBER(Datos!K18/Datos!J18),Datos!K18/Datos!J18," - ")</f>
        <v>0.82588996763754041</v>
      </c>
      <c r="BH18" s="906">
        <f>IF(ISNUMBER(((Datos!L18/Datos!K18)*11)/factor_trimestre),((Datos!L18/Datos!K18)*11)/factor_trimestre," - ")</f>
        <v>4.8526645768025078</v>
      </c>
      <c r="BI18" s="902">
        <f>SUBTOTAL(9,BI15:BI17)</f>
        <v>0.28703703703703703</v>
      </c>
      <c r="BJ18" s="902">
        <f>SUBTOTAL(9,BJ15:BJ17)</f>
        <v>0</v>
      </c>
      <c r="BK18" s="902">
        <f>SUBTOTAL(9,BK15:BK17)</f>
        <v>0</v>
      </c>
      <c r="BL18" s="902">
        <f>IF(ISNUMBER((I18-AB18+L18)/(F18)),(I18-AB18+L18)/(F18)," - ")</f>
        <v>-0.78668310727496915</v>
      </c>
      <c r="BM18" s="908">
        <f>IF(ISNUMBER((Datos!P18-Datos!Q18)/(Datos!R18-Datos!P18+Datos!Q18)),(Datos!P18-Datos!Q18)/(Datos!R18-Datos!P18+Datos!Q18)," - ")</f>
        <v>-2.1929824561403508E-2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8</v>
      </c>
      <c r="F19" s="823">
        <f t="shared" si="6"/>
        <v>1642</v>
      </c>
      <c r="G19" s="823">
        <f t="shared" si="6"/>
        <v>1888</v>
      </c>
      <c r="H19" s="825">
        <f t="shared" si="6"/>
        <v>0</v>
      </c>
      <c r="I19" s="823">
        <f t="shared" si="6"/>
        <v>0</v>
      </c>
      <c r="J19" s="825">
        <f t="shared" si="6"/>
        <v>0</v>
      </c>
      <c r="K19" s="825">
        <f t="shared" si="6"/>
        <v>0</v>
      </c>
      <c r="L19" s="884">
        <f t="shared" si="6"/>
        <v>0</v>
      </c>
      <c r="M19" s="884">
        <f t="shared" si="6"/>
        <v>0</v>
      </c>
      <c r="N19" s="884">
        <f t="shared" si="6"/>
        <v>101</v>
      </c>
      <c r="O19" s="884">
        <f t="shared" si="6"/>
        <v>0</v>
      </c>
      <c r="P19" s="884">
        <f t="shared" si="6"/>
        <v>0</v>
      </c>
      <c r="Q19" s="825">
        <f t="shared" si="6"/>
        <v>507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1289</v>
      </c>
      <c r="AC19" s="824">
        <f t="shared" si="7"/>
        <v>223</v>
      </c>
      <c r="AD19" s="824">
        <f t="shared" si="7"/>
        <v>0</v>
      </c>
      <c r="AE19" s="824">
        <f t="shared" si="7"/>
        <v>0</v>
      </c>
      <c r="AF19" s="831">
        <f t="shared" si="7"/>
        <v>2088</v>
      </c>
      <c r="AG19" s="831">
        <f t="shared" si="7"/>
        <v>0</v>
      </c>
      <c r="AH19" s="831">
        <f t="shared" si="7"/>
        <v>53</v>
      </c>
      <c r="AI19" s="831">
        <f t="shared" si="7"/>
        <v>0</v>
      </c>
      <c r="AJ19" s="824">
        <f t="shared" si="7"/>
        <v>0</v>
      </c>
      <c r="AK19" s="831">
        <f t="shared" si="7"/>
        <v>0</v>
      </c>
      <c r="AL19" s="831">
        <f t="shared" si="7"/>
        <v>0</v>
      </c>
      <c r="AM19" s="831">
        <f t="shared" si="7"/>
        <v>4985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768</v>
      </c>
      <c r="BD19" s="823">
        <f t="shared" si="7"/>
        <v>1450</v>
      </c>
      <c r="BE19" s="823">
        <f t="shared" si="7"/>
        <v>0</v>
      </c>
      <c r="BF19" s="833">
        <f t="shared" si="7"/>
        <v>0</v>
      </c>
      <c r="BG19" s="918">
        <f>IF(ISNUMBER(Datos!K19/Datos!J19),Datos!K19/Datos!J19," - ")</f>
        <v>0.88381057268722463</v>
      </c>
      <c r="BH19" s="918">
        <f>IF(ISNUMBER(((Datos!L19/Datos!K19)*11)/factor_trimestre),((Datos!L19/Datos!K19)*11)/factor_trimestre," - ")</f>
        <v>5.1364485981308414</v>
      </c>
      <c r="BI19" s="816">
        <f>IF(ISNUMBER(Datos!J19/Datos!I19),Datos!J19/Datos!I19," - ")</f>
        <v>0.69980732177263971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-0.78501827040194883</v>
      </c>
      <c r="BM19" s="892">
        <f>IF(ISNUMBER((Datos!P19-Datos!Q19+R19)/(Datos!R19-Datos!P19+Datos!Q19-R19)),(Datos!P19-Datos!Q19+R19)/(Datos!R19-Datos!P19+Datos!Q19-R19)," - ")</f>
        <v>6.0412678153584344E-2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755.2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2.2236106773543889</v>
      </c>
      <c r="F21" s="554">
        <f>IF(ISNUMBER(STDEV(F8:F18)),STDEV(F8:F18),"-")</f>
        <v>924.9151312417805</v>
      </c>
      <c r="G21" s="555">
        <f>IF(ISNUMBER(STDEV(G8:G18)),STDEV(G8:G18),"-")</f>
        <v>932.53696977653385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655.43596178421581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273.96934135045109</v>
      </c>
      <c r="BD21" s="554"/>
      <c r="BE21" s="554">
        <f>IF(ISNUMBER(STDEV(BE8:BE18)),STDEV(BE8:BE18),"-")</f>
        <v>0</v>
      </c>
      <c r="BF21" s="559">
        <f>IF(ISNUMBER(STDEV(BF8:BF18)),STDEV(BF8:BF18),"-")</f>
        <v>0</v>
      </c>
      <c r="BG21" s="778">
        <f>IF(ISNUMBER(STDEV(BG8:BG18)),STDEV(BG8:BG18),"-")</f>
        <v>9.6052269074590788E-2</v>
      </c>
      <c r="BH21" s="779">
        <f>IF(ISNUMBER(STDEV(BH8:BH18)),STDEV(BH8:BH18),"-")</f>
        <v>0.937529576107066</v>
      </c>
      <c r="BI21" s="252">
        <f>IF(ISNUMBER(STDEV(BI8:BI18)),STDEV(BI8:BI18),"-")</f>
        <v>8.5592533279308755E-2</v>
      </c>
      <c r="BJ21" s="233" t="str">
        <f>IF(ISNUMBER(BL21/BM21),BL21/BM21," - ")</f>
        <v xml:space="preserve"> - </v>
      </c>
      <c r="BK21" s="578"/>
      <c r="BL21" s="562">
        <f>IF(ISNUMBER(STDEV(BL8:BL18)),STDEV(BL8:BL18),"-")</f>
        <v>9.6649552027779001E-2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LfUpvZCeLGH1EdY31YJXgWBo+hoIIAV9inzVTK77bNUM88bd0xIDuxdGjvJSgq0uK0apyjU9aoc0jFdQN1BSPQ==" saltValue="uPzBUFJdmKqsfivp4j1bd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PONFERRADA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414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126</v>
      </c>
      <c r="AA9" s="335" t="str">
        <f>IF(ISNUMBER(IF(J_V="SI",Datos!L9,Datos!L9+Datos!AB9)-IF(Monitorios="SI",Datos!CD9,0)),
                          IF(J_V="SI",Datos!L9,Datos!L9+Datos!AB9)-IF(Monitorios="SI",Datos!CD9,0),
                          " - ")</f>
        <v xml:space="preserve"> - </v>
      </c>
      <c r="AB9" s="337"/>
      <c r="AC9" s="337"/>
      <c r="AD9" s="487"/>
      <c r="AE9" s="487">
        <f>IF(ISNUMBER(Datos!R9),Datos!R9," - ")</f>
        <v>4718</v>
      </c>
      <c r="AF9" s="232" t="str">
        <f>IF(ISNUMBER(Datos!BV9),Datos!BV9," - ")</f>
        <v xml:space="preserve"> - </v>
      </c>
      <c r="AG9" s="228" t="str">
        <f>IF(ISNUMBER(Datos!DV9),Datos!DV9," - ")</f>
        <v xml:space="preserve"> - </v>
      </c>
      <c r="AH9" s="301"/>
      <c r="AI9" s="230"/>
      <c r="AJ9" s="228">
        <f>IF(ISNUMBER(Datos!M9),Datos!M9," - ")</f>
        <v>596</v>
      </c>
      <c r="AK9" s="232">
        <f>IF(ISNUMBER(Datos!N9),Datos!N9," - ")</f>
        <v>593</v>
      </c>
      <c r="AL9" s="232" t="str">
        <f>IF(ISNUMBER(Datos!BW9),Datos!BW9," - ")</f>
        <v xml:space="preserve"> - </v>
      </c>
      <c r="AM9" s="231" t="str">
        <f>IF(ISNUMBER(Datos!BX9),Datos!BX9," - ")</f>
        <v xml:space="preserve"> - </v>
      </c>
      <c r="AN9" s="246"/>
      <c r="AO9" s="263">
        <f>IF(ISNUMBER(((NºAsuntos!I9/NºAsuntos!G9)*11)/factor_trimestre),((NºAsuntos!I9/NºAsuntos!G9)*11)/factor_trimestre," - ")</f>
        <v>5.087212150906419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6.5011286681715574E-2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0</v>
      </c>
      <c r="AA10" s="335">
        <f>IF(ISNUMBER(Datos!L10),Datos!L10,"-")</f>
        <v>24</v>
      </c>
      <c r="AB10" s="337"/>
      <c r="AC10" s="337"/>
      <c r="AD10" s="487"/>
      <c r="AE10" s="487">
        <f>IF(ISNUMBER(Datos!R10),Datos!R10," - ")</f>
        <v>44</v>
      </c>
      <c r="AF10" s="232" t="str">
        <f>IF(ISNUMBER(Datos!BV10),Datos!BV10," - ")</f>
        <v xml:space="preserve"> - </v>
      </c>
      <c r="AG10" s="228" t="str">
        <f>IF(ISNUMBER(Datos!DV10),Datos!DV10," - ")</f>
        <v xml:space="preserve"> - </v>
      </c>
      <c r="AH10" s="301"/>
      <c r="AI10" s="230"/>
      <c r="AJ10" s="228">
        <f>IF(ISNUMBER(Datos!M10),Datos!M10," - ")</f>
        <v>6</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5.5384615384615392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2.3255813953488372E-2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415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126</v>
      </c>
      <c r="AA13" s="903">
        <f t="shared" si="2"/>
        <v>24</v>
      </c>
      <c r="AB13" s="903">
        <f t="shared" si="2"/>
        <v>0</v>
      </c>
      <c r="AC13" s="903">
        <f t="shared" si="2"/>
        <v>0</v>
      </c>
      <c r="AD13" s="903">
        <f t="shared" si="2"/>
        <v>0</v>
      </c>
      <c r="AE13" s="903">
        <f t="shared" si="2"/>
        <v>4762</v>
      </c>
      <c r="AF13" s="911">
        <f t="shared" si="2"/>
        <v>0</v>
      </c>
      <c r="AG13" s="911">
        <f t="shared" si="2"/>
        <v>0</v>
      </c>
      <c r="AH13" s="911">
        <f t="shared" si="2"/>
        <v>0</v>
      </c>
      <c r="AI13" s="911">
        <f t="shared" si="2"/>
        <v>0</v>
      </c>
      <c r="AJ13" s="911">
        <f t="shared" si="2"/>
        <v>602</v>
      </c>
      <c r="AK13" s="911">
        <f t="shared" si="2"/>
        <v>598</v>
      </c>
      <c r="AL13" s="911">
        <f t="shared" si="2"/>
        <v>0</v>
      </c>
      <c r="AM13" s="911">
        <f t="shared" si="2"/>
        <v>0</v>
      </c>
      <c r="AN13" s="911">
        <f t="shared" si="2"/>
        <v>0</v>
      </c>
      <c r="AO13" s="907">
        <f>IF(ISNUMBER(((NºAsuntos!I13/NºAsuntos!G13)*11)/factor_trimestre),((NºAsuntos!I13/NºAsuntos!G13)*11)/factor_trimestre," - ")</f>
        <v>5.0900681596884132</v>
      </c>
      <c r="AP13" s="913" t="str">
        <f>IF(ISNUMBER(Datos!CI13/Datos!CJ13),Datos!CI13/Datos!CJ13," - ")</f>
        <v xml:space="preserve"> - </v>
      </c>
      <c r="AQ13" s="931">
        <f t="shared" ref="AQ13:AV13" si="3">SUBTOTAL(9,AQ9:AQ12)</f>
        <v>0</v>
      </c>
      <c r="AR13" s="931">
        <f t="shared" si="3"/>
        <v>8.8267100635203946E-2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3</v>
      </c>
      <c r="B15" s="510" t="s">
        <v>400</v>
      </c>
      <c r="C15" s="163" t="str">
        <f>Datos!A15</f>
        <v xml:space="preserve">Jdos. Instrucción                               </v>
      </c>
      <c r="D15" s="505"/>
      <c r="E15" s="1171">
        <f>IF(ISNUMBER(Datos!AQ15),Datos!AQ15," - ")</f>
        <v>3</v>
      </c>
      <c r="F15" s="336">
        <f>IF(ISNUMBER(AA15+Y15-Datos!J15-K15),AA15+Y15-Datos!J15-K15," - ")</f>
        <v>1622</v>
      </c>
      <c r="G15" s="228">
        <f>IF(ISNUMBER(IF(D_I="SI",Datos!I15,Datos!I15+Datos!AC15)),IF(D_I="SI",Datos!I15,Datos!I15+Datos!AC15)," - ")</f>
        <v>1674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85</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1188</v>
      </c>
      <c r="Z15" s="622">
        <f>IF(ISNUMBER(Datos!Q15),Datos!Q15," - ")</f>
        <v>89</v>
      </c>
      <c r="AA15" s="335">
        <f>IF(ISNUMBER(IF(D_I="SI",Datos!L15,Datos!L15+Datos!AF15)),IF(D_I="SI",Datos!L15,Datos!L15+Datos!AF15)," - ")</f>
        <v>1851</v>
      </c>
      <c r="AB15" s="337"/>
      <c r="AC15" s="337"/>
      <c r="AD15" s="487"/>
      <c r="AE15" s="487">
        <f>IF(ISNUMBER(Datos!R15),Datos!R15," - ")</f>
        <v>221</v>
      </c>
      <c r="AF15" s="232" t="str">
        <f>IF(ISNUMBER(Datos!BV15),Datos!BV15," - ")</f>
        <v xml:space="preserve"> - </v>
      </c>
      <c r="AG15" s="228"/>
      <c r="AH15" s="301"/>
      <c r="AI15" s="230"/>
      <c r="AJ15" s="228">
        <f>IF(ISNUMBER(Datos!M15),Datos!M15," - ")</f>
        <v>152</v>
      </c>
      <c r="AK15" s="232">
        <f>IF(ISNUMBER(Datos!N15),Datos!N15," - ")</f>
        <v>791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4.6742424242424248</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88</v>
      </c>
      <c r="Z17" s="622">
        <f>IF(ISNUMBER(Datos!Q17),Datos!Q17," - ")</f>
        <v>8</v>
      </c>
      <c r="AA17" s="335">
        <f>IF(ISNUMBER(Datos!L17),Datos!L17,"-")</f>
        <v>213</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14</v>
      </c>
      <c r="AK17" s="232">
        <f>IF(ISNUMBER(Datos!N17),Datos!N17," - ")</f>
        <v>61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7.2613636363636367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1622</v>
      </c>
      <c r="G18" s="901">
        <f>SUBTOTAL(9,G15:G17)</f>
        <v>1868</v>
      </c>
      <c r="H18" s="935">
        <f>SUBTOTAL(9,H15:H17)</f>
        <v>0</v>
      </c>
      <c r="I18" s="914">
        <f>SUBTOTAL(9,I15:I17)</f>
        <v>0</v>
      </c>
      <c r="J18" s="870">
        <f>SUBTOTAL(9,J14:J17)</f>
        <v>0</v>
      </c>
      <c r="K18" s="935">
        <f t="shared" ref="K18:S18" si="4">SUBTOTAL(9,K15:K17)</f>
        <v>0</v>
      </c>
      <c r="L18" s="935">
        <f t="shared" si="4"/>
        <v>0</v>
      </c>
      <c r="M18" s="935">
        <f t="shared" si="4"/>
        <v>0</v>
      </c>
      <c r="N18" s="935">
        <f t="shared" si="4"/>
        <v>92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1276</v>
      </c>
      <c r="Z18" s="935">
        <f t="shared" si="5"/>
        <v>97</v>
      </c>
      <c r="AA18" s="935">
        <f t="shared" si="5"/>
        <v>2064</v>
      </c>
      <c r="AB18" s="935">
        <f t="shared" si="5"/>
        <v>0</v>
      </c>
      <c r="AC18" s="935">
        <f t="shared" si="5"/>
        <v>0</v>
      </c>
      <c r="AD18" s="935">
        <f t="shared" si="5"/>
        <v>0</v>
      </c>
      <c r="AE18" s="935">
        <f t="shared" si="5"/>
        <v>223</v>
      </c>
      <c r="AF18" s="935">
        <f t="shared" si="5"/>
        <v>0</v>
      </c>
      <c r="AG18" s="935">
        <f t="shared" si="5"/>
        <v>0</v>
      </c>
      <c r="AH18" s="935">
        <f t="shared" si="5"/>
        <v>0</v>
      </c>
      <c r="AI18" s="935">
        <f t="shared" si="5"/>
        <v>0</v>
      </c>
      <c r="AJ18" s="935">
        <f t="shared" si="5"/>
        <v>166</v>
      </c>
      <c r="AK18" s="935">
        <f t="shared" si="5"/>
        <v>852</v>
      </c>
      <c r="AL18" s="935">
        <f t="shared" si="5"/>
        <v>0</v>
      </c>
      <c r="AM18" s="935">
        <f t="shared" si="5"/>
        <v>0</v>
      </c>
      <c r="AN18" s="935">
        <f t="shared" si="5"/>
        <v>0</v>
      </c>
      <c r="AO18" s="937">
        <f>IF(ISNUMBER(((NºAsuntos!I18/NºAsuntos!G18)*11)/factor_trimestre),((NºAsuntos!I18/NºAsuntos!G18)*11)/factor_trimestre," - ")</f>
        <v>4.8526645768025078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1642</v>
      </c>
      <c r="G19" s="823">
        <f t="shared" si="7"/>
        <v>1888</v>
      </c>
      <c r="H19" s="824">
        <f t="shared" si="7"/>
        <v>0</v>
      </c>
      <c r="I19" s="823">
        <f t="shared" si="7"/>
        <v>0</v>
      </c>
      <c r="J19" s="825">
        <f t="shared" si="7"/>
        <v>0</v>
      </c>
      <c r="K19" s="823">
        <f t="shared" si="7"/>
        <v>0</v>
      </c>
      <c r="L19" s="826">
        <f t="shared" si="7"/>
        <v>0</v>
      </c>
      <c r="M19" s="823">
        <f t="shared" si="7"/>
        <v>0</v>
      </c>
      <c r="N19" s="824">
        <f t="shared" si="7"/>
        <v>507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1289</v>
      </c>
      <c r="Z19" s="830">
        <f t="shared" si="8"/>
        <v>223</v>
      </c>
      <c r="AA19" s="831">
        <f t="shared" si="8"/>
        <v>2088</v>
      </c>
      <c r="AB19" s="831">
        <f t="shared" si="8"/>
        <v>0</v>
      </c>
      <c r="AC19" s="831">
        <f t="shared" si="8"/>
        <v>0</v>
      </c>
      <c r="AD19" s="832">
        <f t="shared" si="8"/>
        <v>0</v>
      </c>
      <c r="AE19" s="832">
        <f t="shared" si="8"/>
        <v>4985</v>
      </c>
      <c r="AF19" s="833">
        <f t="shared" si="8"/>
        <v>0</v>
      </c>
      <c r="AG19" s="834">
        <f t="shared" si="8"/>
        <v>0</v>
      </c>
      <c r="AH19" s="835">
        <f t="shared" si="8"/>
        <v>0</v>
      </c>
      <c r="AI19" s="833">
        <f t="shared" si="8"/>
        <v>0</v>
      </c>
      <c r="AJ19" s="823">
        <f t="shared" si="8"/>
        <v>768</v>
      </c>
      <c r="AK19" s="823">
        <f t="shared" si="8"/>
        <v>1450</v>
      </c>
      <c r="AL19" s="823">
        <f t="shared" si="8"/>
        <v>0</v>
      </c>
      <c r="AM19" s="836">
        <f t="shared" si="8"/>
        <v>0</v>
      </c>
      <c r="AN19" s="826">
        <f>IF(ISNUMBER(Datos!K19/Datos!J19),Datos!K19/Datos!J19," - ")</f>
        <v>0.88381057268722463</v>
      </c>
      <c r="AO19" s="826">
        <f>IF(ISNUMBER(FIND("06",Criterios!A8,1)),(IF(ISNUMBER(((Datos!R19/Datos!Q19)*11)/factor_trimestre),((Datos!R19/Datos!Q19)*11)/factor_trimestre," - ")),(IF(ISNUMBER(((Datos!L19/Datos!K19)*11)/factor_trimestre),((Datos!L19/Datos!K19)*11)/factor_trimestre," - ")))</f>
        <v>5.1364485981308414</v>
      </c>
      <c r="AP19" s="837" t="str">
        <f>IF(ISNUMBER(Datos!CI19/Datos!CJ19),Datos!CI19/Datos!CJ19," - ")</f>
        <v xml:space="preserve"> - </v>
      </c>
      <c r="AQ19" s="837">
        <f>IF(OR(ISNUMBER(FIND("01",Criterios!A8,1)),ISNUMBER(FIND("02",Criterios!A8,1)),ISNUMBER(FIND("03",Criterios!A8,1)),ISNUMBER(FIND("04",Criterios!A8,1))),(J19-Y19+K19)/(F19-K19),(I19-Y19+K19)/(F19-K19))</f>
        <v>-0.78501827040194883</v>
      </c>
      <c r="AR19" s="837">
        <f>IF(ISNUMBER((Datos!P19-Datos!Q19+O19)/(Datos!R19-Datos!P19+Datos!Q19-O19)),(Datos!P19-Datos!Q19+O19)/(Datos!R19-Datos!P19+Datos!Q19-O19)," - ")</f>
        <v>6.0412678153584344E-2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755.2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924.9151312417805</v>
      </c>
      <c r="G21" s="555">
        <f>IF(ISNUMBER(STDEV(G8:G18)),STDEV(G8:G18),"-")</f>
        <v>932.53696977653385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273.96934135045109</v>
      </c>
      <c r="AK21" s="255"/>
      <c r="AL21" s="255">
        <f>IF(ISNUMBER(STDEV(AL8:AL18)),STDEV(AL8:AL18),"-")</f>
        <v>0</v>
      </c>
      <c r="AM21" s="257">
        <f>IF(ISNUMBER(STDEV(AM8:AM18)),STDEV(AM8:AM18),"-")</f>
        <v>0</v>
      </c>
      <c r="AN21" s="542">
        <f>IF(ISNUMBER(STDEV(AN8:AN18)),STDEV(AN8:AN18),"-")</f>
        <v>0</v>
      </c>
      <c r="AO21" s="543">
        <f>IF(ISNUMBER(STDEV(AO8:AO18)),STDEV(AO8:AO18),"-")</f>
        <v>0.94891908962661353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BTjVdojJ35XU7SWoN66NhkdEUOpjG0aZN8o6Ya6MJHArIMTl5PCRBVr7FvawWsW5VK331GGbHU9GEuEUZbdhw==" saltValue="/bFFgU+wgkjiggDxLfh7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o3tNBgTEIBxIVSHyQxv7SdQ/MqiLTUuA3XDVaglZCwoEc0N2gaKfONhAUZ6tQLAA+yDdF1p9knj6eKWHIz2KA==" saltValue="6tjAGus7c68UtZ4dn5gA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ZpQOsQiexoEX3dwBwOud+vRyhEs+LWrRqGMDjvKyWfgj6BAu+A0Gf3yS6SnDwSPn4xbktLD5MK6B1k8zjAvWg==" saltValue="VNvaX7hLKS2KnKCbc8+E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PONFERRADA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0.29308666017526774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0.20724356488524906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UXOC1CVoyZezvUGo476QsfoSl/tNUAmgkR+ImZxKVKj1ggsc6kW44vvm0gQe2L6ENfXgPLIweHf+tfcE3njJdg==" saltValue="27R9gv2NrGmfDip+jRWo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1j0eqQhtuSBSp0jeipsTQ8qeD8YAGV9tqpo5VYz04NQgmt+spwAZg0b6rc/FnYQaf39DlwYNqf2L4+qhMpE74w==" saltValue="y93e8VbugRFtzFQtv0WI7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PONFERRADA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3371</v>
      </c>
      <c r="D9" s="407" t="str">
        <f>IF(ISNUMBER(C9/Datos!BH9),C9/Datos!BH9," - ")</f>
        <v xml:space="preserve"> - </v>
      </c>
      <c r="E9" s="406">
        <f>IF(ISNUMBER(IF(J_V="SI",Datos!J9,Datos!J9+Datos!Z9)),IF(J_V="SI",Datos!J9,Datos!J9+Datos!Z9)," - ")</f>
        <v>2171</v>
      </c>
      <c r="F9" s="407">
        <f>IF(ISNUMBER(E9/B9),E9/B9," - ")</f>
        <v>434.2</v>
      </c>
      <c r="G9" s="406">
        <f>IF(ISNUMBER(IF(J_V="SI",Datos!K9,Datos!K9+Datos!AA9)),IF(J_V="SI",Datos!K9,Datos!K9+Datos!AA9)," - ")</f>
        <v>2041</v>
      </c>
      <c r="H9" s="407">
        <f>IF(ISNUMBER(G9/B9),G9/B9," - ")</f>
        <v>408.2</v>
      </c>
      <c r="I9" s="406">
        <f>IF(ISNUMBER(IF(J_V="SI",Datos!L9,Datos!L9+Datos!AB9)),IF(J_V="SI",Datos!L9,Datos!L9+Datos!AB9)," - ")</f>
        <v>3461</v>
      </c>
      <c r="J9" s="407">
        <f>IF(ISNUMBER(I9/B9),I9/B9," - ")</f>
        <v>692.2</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17</v>
      </c>
      <c r="F10" s="407">
        <f>IF(ISNUMBER(E10/B10),E10/B10," - ")</f>
        <v>17</v>
      </c>
      <c r="G10" s="406">
        <f>IF(ISNUMBER(Datos!K10),Datos!K10," - ")</f>
        <v>13</v>
      </c>
      <c r="H10" s="407">
        <f>IF(ISNUMBER(G10/B10),G10/B10," - ")</f>
        <v>13</v>
      </c>
      <c r="I10" s="406">
        <f>IF(ISNUMBER(Datos!L10),Datos!L10," - ")</f>
        <v>24</v>
      </c>
      <c r="J10" s="407">
        <f>IF(ISNUMBER(I10/B10),I10/B10," - ")</f>
        <v>24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3391</v>
      </c>
      <c r="D13" s="853" t="str">
        <f>IF(ISNUMBER(C13/Datos!BI13),C13/Datos!BI13," - ")</f>
        <v xml:space="preserve"> - </v>
      </c>
      <c r="E13" s="852">
        <f>SUBTOTAL(9,E8:E12)</f>
        <v>2188</v>
      </c>
      <c r="F13" s="853">
        <f>IF(ISNUMBER(E13/B13),E13/B13," - ")</f>
        <v>437.6</v>
      </c>
      <c r="G13" s="852">
        <f>SUBTOTAL(9,G8:G12)</f>
        <v>2054</v>
      </c>
      <c r="H13" s="853">
        <f>IF(ISNUMBER(G13/B13),G13/B13," - ")</f>
        <v>410.8</v>
      </c>
      <c r="I13" s="852">
        <f>SUBTOTAL(9,I8:I12)</f>
        <v>3485</v>
      </c>
      <c r="J13" s="853">
        <f>IF(ISNUMBER(I13/B13),I13/B13," - ")</f>
        <v>697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3</v>
      </c>
      <c r="C15" s="406">
        <f>IF(ISNUMBER(IF(D_I="SI",Datos!I15,Datos!I15+Datos!AC15)),IF(D_I="SI",Datos!I15,Datos!I15+Datos!AC15)," - ")</f>
        <v>1674</v>
      </c>
      <c r="D15" s="407" t="str">
        <f>IF(ISNUMBER(C15/Datos!BH15),C15/Datos!BH15," - ")</f>
        <v xml:space="preserve"> - </v>
      </c>
      <c r="E15" s="406">
        <f>IF(ISNUMBER(IF(D_I="SI",Datos!J15,Datos!J15+Datos!AD15)),IF(D_I="SI",Datos!J15,Datos!J15+Datos!AD15)," - ")</f>
        <v>1417</v>
      </c>
      <c r="F15" s="407">
        <f>IF(ISNUMBER(E15/B15),E15/B15," - ")</f>
        <v>472.33333333333331</v>
      </c>
      <c r="G15" s="406">
        <f>IF(ISNUMBER(IF(D_I="SI",Datos!K15,Datos!K15+Datos!AE15)),IF(D_I="SI",Datos!K15,Datos!K15+Datos!AE15)," - ")</f>
        <v>1188</v>
      </c>
      <c r="H15" s="407">
        <f>IF(ISNUMBER(G15/B15),G15/B15," - ")</f>
        <v>396</v>
      </c>
      <c r="I15" s="406">
        <f>IF(ISNUMBER(IF(D_I="SI",Datos!L15,Datos!L15+Datos!AF15)),IF(D_I="SI",Datos!L15,Datos!L15+Datos!AF15)," - ")</f>
        <v>1851</v>
      </c>
      <c r="J15" s="407">
        <f>IF(ISNUMBER(I15/B15),I15/B15," - ")</f>
        <v>617</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194</v>
      </c>
      <c r="D17" s="407">
        <f>IF(ISNUMBER(C17/Datos!BH17),C17/Datos!BH17," - ")</f>
        <v>194</v>
      </c>
      <c r="E17" s="406">
        <f>IF(ISNUMBER(IF(D_I="SI",Datos!J17,Datos!J17+Datos!AD17)),IF(D_I="SI",Datos!J17,Datos!J17+Datos!AD17)," - ")</f>
        <v>128</v>
      </c>
      <c r="F17" s="407">
        <f>IF(ISNUMBER(E17/B17),E17/B17," - ")</f>
        <v>128</v>
      </c>
      <c r="G17" s="406">
        <f>IF(ISNUMBER(IF(D_I="SI",Datos!K17,Datos!K17+Datos!AE17)),IF(D_I="SI",Datos!K17,Datos!K17+Datos!AE17)," - ")</f>
        <v>88</v>
      </c>
      <c r="H17" s="407">
        <f>IF(ISNUMBER(G17/B17),G17/B17," - ")</f>
        <v>88</v>
      </c>
      <c r="I17" s="406">
        <f>IF(ISNUMBER(IF(D_I="SI",Datos!L17,Datos!L17+Datos!AF17)),IF(D_I="SI",Datos!L17,Datos!L17+Datos!AF17)," - ")</f>
        <v>213</v>
      </c>
      <c r="J17" s="407">
        <f>IF(ISNUMBER(I17/B17),I17/B17," - ")</f>
        <v>213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1868</v>
      </c>
      <c r="D18" s="853" t="str">
        <f>IF(ISNUMBER(C18/Datos!BI18),C18/Datos!BI18," - ")</f>
        <v xml:space="preserve"> - </v>
      </c>
      <c r="E18" s="852">
        <f>SUBTOTAL(9,E14:E17)</f>
        <v>1545</v>
      </c>
      <c r="F18" s="853">
        <f>IF(ISNUMBER(E18/B18),E18/B18," - ")</f>
        <v>515</v>
      </c>
      <c r="G18" s="852">
        <f>SUBTOTAL(9,G14:G17)</f>
        <v>1276</v>
      </c>
      <c r="H18" s="853">
        <f>IF(ISNUMBER(G18/B18),G18/B18," - ")</f>
        <v>425.33333333333331</v>
      </c>
      <c r="I18" s="852">
        <f>SUBTOTAL(9,I14:I17)</f>
        <v>2064</v>
      </c>
      <c r="J18" s="853">
        <f>IF(ISNUMBER(I18/B18),I18/B18," - ")</f>
        <v>688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5259</v>
      </c>
      <c r="D19" s="798" t="str">
        <f>IF(ISNUMBER(C19/Datos!BI19),C19/Datos!BI19," - ")</f>
        <v xml:space="preserve"> - </v>
      </c>
      <c r="E19" s="797">
        <f>SUBTOTAL(9,E9:E18)</f>
        <v>3733</v>
      </c>
      <c r="F19" s="798">
        <f>IF(ISNUMBER(E19/B19),E19/B19," - ")</f>
        <v>466.625</v>
      </c>
      <c r="G19" s="797">
        <f>SUBTOTAL(9,G9:G18)</f>
        <v>3330</v>
      </c>
      <c r="H19" s="798">
        <f>IF(ISNUMBER(G19/B19),G19/B19," - ")</f>
        <v>416.25</v>
      </c>
      <c r="I19" s="797">
        <f>SUBTOTAL(9,I9:I18)</f>
        <v>5549</v>
      </c>
      <c r="J19" s="798">
        <f>IF(ISNUMBER(I19/B19),I19/B19," - ")</f>
        <v>693.625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kELJPlFEjRu568n/Lt9fNWC9dBZRoqcRdm1DkeSYqVlVgmC52rvGcYRybpPLOWmOdk8zrMb1iukCmRF5aqEDA==" saltValue="gA78ZS2UJY+Ug19KUXx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PONFERRADA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24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5.5384615384615392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0</v>
      </c>
      <c r="AE13" s="942">
        <f t="shared" si="1"/>
        <v>0</v>
      </c>
      <c r="AF13" s="942">
        <f t="shared" si="1"/>
        <v>24</v>
      </c>
      <c r="AG13" s="942">
        <f t="shared" si="1"/>
        <v>0</v>
      </c>
      <c r="AH13" s="942">
        <f t="shared" si="1"/>
        <v>0</v>
      </c>
      <c r="AI13" s="942">
        <f t="shared" si="1"/>
        <v>0</v>
      </c>
      <c r="AJ13" s="942">
        <f t="shared" si="1"/>
        <v>0</v>
      </c>
      <c r="AK13" s="942">
        <f t="shared" si="1"/>
        <v>0</v>
      </c>
      <c r="AL13" s="942">
        <f t="shared" si="1"/>
        <v>6</v>
      </c>
      <c r="AM13" s="942">
        <f t="shared" si="1"/>
        <v>5</v>
      </c>
      <c r="AN13" s="942">
        <f t="shared" si="1"/>
        <v>0</v>
      </c>
      <c r="AO13" s="942">
        <f t="shared" si="1"/>
        <v>0</v>
      </c>
      <c r="AP13" s="947">
        <f>IF(ISNUMBER(((Datos!L13/Datos!K13)*11)/factor_trimestre),((Datos!L13/Datos!K13)*11)/factor_trimestre," - ")</f>
        <v>5.3236814891416753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3</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4.8526645768025078</v>
      </c>
      <c r="AQ18" s="947">
        <f>IF(ISNUMBER(((Datos!M18/Datos!L18)*11)/factor_trimestre),((Datos!M18/Datos!L18)*11)/factor_trimestre," - ")</f>
        <v>0.24127906976744187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-2.1929824561403508E-2</v>
      </c>
      <c r="AW18" s="949">
        <f>IF(ISNUMBER((Datos!Q18-Datos!R18)/(Datos!S18-Datos!Q18+Datos!R18)),(Datos!Q18-Datos!R18)/(Datos!S18-Datos!Q18+Datos!R18)," - ")</f>
        <v>-0.59433962264150941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0</v>
      </c>
      <c r="AE19" s="960">
        <f t="shared" si="5"/>
        <v>0</v>
      </c>
      <c r="AF19" s="961">
        <f t="shared" si="5"/>
        <v>24</v>
      </c>
      <c r="AG19" s="961">
        <f t="shared" si="5"/>
        <v>0</v>
      </c>
      <c r="AH19" s="961">
        <f t="shared" si="5"/>
        <v>0</v>
      </c>
      <c r="AI19" s="961">
        <f t="shared" si="5"/>
        <v>0</v>
      </c>
      <c r="AJ19" s="962">
        <f t="shared" si="5"/>
        <v>0</v>
      </c>
      <c r="AK19" s="962">
        <f t="shared" si="5"/>
        <v>0</v>
      </c>
      <c r="AL19" s="954">
        <f t="shared" si="5"/>
        <v>6</v>
      </c>
      <c r="AM19" s="954">
        <f t="shared" si="5"/>
        <v>5</v>
      </c>
      <c r="AN19" s="954">
        <f t="shared" si="5"/>
        <v>0</v>
      </c>
      <c r="AO19" s="954">
        <f t="shared" si="5"/>
        <v>0</v>
      </c>
      <c r="AP19" s="954">
        <f>IF(ISNUMBER(((Datos!L19/Datos!K19)*11)/factor_trimestre),((Datos!L19/Datos!K19)*11)/factor_trimestre," - ")</f>
        <v>5.1364485981308414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6.0412678153584344E-2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3.4641016151377544</v>
      </c>
      <c r="AM21" s="739"/>
      <c r="AN21" s="739">
        <f>IF(ISNUMBER(STDEV(AN8:AN18)),STDEV(AN8:AN18),"-")</f>
        <v>0</v>
      </c>
      <c r="AO21" s="745">
        <f>IF(ISNUMBER(STDEV(AO8:AO18)),STDEV(AO8:AO18),"-")</f>
        <v>0</v>
      </c>
      <c r="AP21" s="782">
        <f>IF(ISNUMBER(STDEV(AP8:AP18)),STDEV(AP8:AP18),"-")</f>
        <v>0.35078599219375078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6cHRsqRijNFwauEwc05/1O4c7dcXC2mDqfF4zg8ljiWaAKbYqaOy/ZqWIFq8wSjgvA4oNzlAwYtYSQajhtB4uw==" saltValue="B0fst6AI24+lSCjArnbu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PONFERRADA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f>IF(ISNUMBER(E12/Datos!BH12),E12/Datos!BH12," - ")</f>
        <v>0</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3</v>
      </c>
      <c r="D15" s="406">
        <f>Datos!BK15</f>
        <v>0</v>
      </c>
      <c r="E15" s="406">
        <f>Datos!AQ15</f>
        <v>3</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f>IF(ISNUMBER(E16/Datos!BH16),E16/Datos!BH16," - ")</f>
        <v>0</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KJt1YOaVSWzw78cKBJ5iOHRdCBE0BQ44Iu0hbR+7/OfKlM9A3okgqxVwBLdSlaES9usqlGU7JM7//mC6BQv8w==" saltValue="h4cqwa8cMI33jK+scBR+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PONFERRADA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596</v>
      </c>
      <c r="E9" s="407">
        <f t="shared" ref="E9:E13" si="0">IF(ISNUMBER(D9/B9),D9/B9," - ")</f>
        <v>119.2</v>
      </c>
      <c r="F9" s="406">
        <f>IF(ISNUMBER(Datos!N9),Datos!N9," - ")</f>
        <v>593</v>
      </c>
      <c r="G9" s="407">
        <f t="shared" ref="G9:G13" si="1">IF(ISNUMBER(F9/B9),F9/B9," - ")</f>
        <v>118.6</v>
      </c>
      <c r="H9" s="406">
        <f>IF(ISNUMBER(Datos!O9),Datos!O9," - ")</f>
        <v>819</v>
      </c>
      <c r="I9" s="407">
        <f>IF(ISNUMBER(H9/B9),H9/B9," - ")</f>
        <v>163.80000000000001</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5</v>
      </c>
      <c r="G10" s="407">
        <f>IF(ISNUMBER(F10/B10),F10/B10," - ")</f>
        <v>5</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5</v>
      </c>
      <c r="D13" s="852">
        <f>SUBTOTAL(9,D9:D12)</f>
        <v>602</v>
      </c>
      <c r="E13" s="853">
        <f t="shared" si="0"/>
        <v>100.33333333333333</v>
      </c>
      <c r="F13" s="852">
        <f>SUBTOTAL(9,F9:F12)</f>
        <v>598</v>
      </c>
      <c r="G13" s="853">
        <f t="shared" si="1"/>
        <v>99.666666666666671</v>
      </c>
      <c r="H13" s="852">
        <f>SUBTOTAL(9,H9:H12)</f>
        <v>820</v>
      </c>
      <c r="I13" s="853">
        <f>IF(ISNUMBER(H13/B13),H13/B13," - ")</f>
        <v>136.66666666666666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3</v>
      </c>
      <c r="C15" s="431">
        <f>Datos!AQ15</f>
        <v>3</v>
      </c>
      <c r="D15" s="406">
        <f>IF(ISNUMBER(Datos!M15),Datos!M15," - ")</f>
        <v>152</v>
      </c>
      <c r="E15" s="407">
        <f t="shared" ref="E15:E18" si="3">IF(ISNUMBER(D15/B15),D15/B15," - ")</f>
        <v>50.666666666666664</v>
      </c>
      <c r="F15" s="406">
        <f>IF(ISNUMBER(Datos!N15),Datos!N15," - ")</f>
        <v>791</v>
      </c>
      <c r="G15" s="407">
        <f t="shared" ref="G15:G18" si="4">IF(ISNUMBER(F15/B15),F15/B15," - ")</f>
        <v>263.66666666666669</v>
      </c>
      <c r="H15" s="406">
        <f>IF(ISNUMBER(Datos!O15),Datos!O15," - ")</f>
        <v>81</v>
      </c>
      <c r="I15" s="407">
        <f t="shared" ref="I15:I17" si="5">IF(ISNUMBER(H15/B15),H15/B15," - ")</f>
        <v>27</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14</v>
      </c>
      <c r="E17" s="407">
        <f>IF(ISNUMBER(D17/B17),D17/B17," - ")</f>
        <v>14</v>
      </c>
      <c r="F17" s="406">
        <f>IF(ISNUMBER(Datos!N17),Datos!N17," - ")</f>
        <v>61</v>
      </c>
      <c r="G17" s="407">
        <f>IF(ISNUMBER(F17/B17),F17/B17," - ")</f>
        <v>61</v>
      </c>
      <c r="H17" s="406">
        <f>IF(ISNUMBER(Datos!O17),Datos!O17," - ")</f>
        <v>0</v>
      </c>
      <c r="I17" s="407">
        <f t="shared" si="5"/>
        <v>0</v>
      </c>
    </row>
    <row r="18" spans="1:9" ht="14.25" thickTop="1" thickBot="1">
      <c r="A18" s="851" t="str">
        <f>Datos!A18</f>
        <v>TOTAL</v>
      </c>
      <c r="B18" s="852">
        <f>Datos!AO18</f>
        <v>4</v>
      </c>
      <c r="C18" s="854">
        <f>Datos!AR18</f>
        <v>3</v>
      </c>
      <c r="D18" s="852">
        <f>SUBTOTAL(9,D15:D17)</f>
        <v>166</v>
      </c>
      <c r="E18" s="853">
        <f t="shared" si="3"/>
        <v>41.5</v>
      </c>
      <c r="F18" s="852">
        <f>SUBTOTAL(9,F15:F17)</f>
        <v>852</v>
      </c>
      <c r="G18" s="853">
        <f t="shared" si="4"/>
        <v>213</v>
      </c>
      <c r="H18" s="852">
        <f>SUBTOTAL(9,H15:H17)</f>
        <v>81</v>
      </c>
      <c r="I18" s="853">
        <f>IF(ISNUMBER(H18/B18),H18/B18," - ")</f>
        <v>20.25</v>
      </c>
    </row>
    <row r="19" spans="1:9" ht="14.25" thickTop="1" thickBot="1">
      <c r="A19" s="796" t="str">
        <f>Datos!A19</f>
        <v>TOTAL JURISDICCIONES</v>
      </c>
      <c r="B19" s="797">
        <f>Datos!AP19</f>
        <v>8</v>
      </c>
      <c r="C19" s="797">
        <f>Datos!AR19</f>
        <v>8</v>
      </c>
      <c r="D19" s="797">
        <f>SUBTOTAL(9,D8:D18)</f>
        <v>768</v>
      </c>
      <c r="E19" s="798">
        <f>IF(ISNUMBER(D19/B19),D19/B19," - ")</f>
        <v>96</v>
      </c>
      <c r="F19" s="797">
        <f>SUBTOTAL(9,F8:F18)</f>
        <v>1450</v>
      </c>
      <c r="G19" s="798">
        <f>IF(ISNUMBER(F19/B19),F19/B19," - ")</f>
        <v>181.25</v>
      </c>
      <c r="H19" s="797">
        <f>SUBTOTAL(9,H8:H18)</f>
        <v>901</v>
      </c>
      <c r="I19" s="798">
        <f>IF(ISNUMBER(H19/B19),H19/B19," - ")</f>
        <v>112.625</v>
      </c>
    </row>
    <row r="22" spans="1:9">
      <c r="A22" s="394" t="str">
        <f>Criterios!A4</f>
        <v>Fecha Informe: 07 mar. 2024</v>
      </c>
    </row>
    <row r="27" spans="1:9">
      <c r="A27" s="417"/>
    </row>
  </sheetData>
  <sheetProtection algorithmName="SHA-512" hashValue="ywo1ejPOC+jwlWGZA39GgEkKR6iwvq4TBNTsTXbUjFYmNAWmIXTjSWrxw5f9TX+lgouIDt/eJ9AyjdKooYMt8g==" saltValue="wB83F3eH3XJ3kS57W/pl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PONFERRADA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414</v>
      </c>
      <c r="C9" s="437">
        <f>IF(ISNUMBER(Datos!Q9),Datos!Q9," - ")</f>
        <v>126</v>
      </c>
      <c r="D9" s="411">
        <f>IF(ISNUMBER(Datos!R9),Datos!R9," - ")</f>
        <v>4718</v>
      </c>
    </row>
    <row r="10" spans="1:4">
      <c r="A10" s="405" t="str">
        <f>Datos!A10</f>
        <v>Jdos. Violencia contra la mujer</v>
      </c>
      <c r="B10" s="436">
        <f>IF(ISNUMBER(Datos!P10),Datos!P10," - ")</f>
        <v>1</v>
      </c>
      <c r="C10" s="437">
        <f>IF(ISNUMBER(Datos!Q10),Datos!Q10," - ")</f>
        <v>0</v>
      </c>
      <c r="D10" s="411">
        <f>IF(ISNUMBER(Datos!R10),Datos!R10," - ")</f>
        <v>44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415</v>
      </c>
      <c r="C13" s="856">
        <f>SUBTOTAL(9,C9:C12)</f>
        <v>126</v>
      </c>
      <c r="D13" s="854">
        <f>SUBTOTAL(9,D9:D12)</f>
        <v>4762</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85</v>
      </c>
      <c r="C15" s="437">
        <f>IF(ISNUMBER(Datos!Q15),Datos!Q15," - ")</f>
        <v>89</v>
      </c>
      <c r="D15" s="411">
        <f>IF(ISNUMBER(Datos!R15),Datos!R15," - ")</f>
        <v>221</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7</v>
      </c>
      <c r="C17" s="437">
        <f>IF(ISNUMBER(Datos!Q17),Datos!Q17," - ")</f>
        <v>8</v>
      </c>
      <c r="D17" s="411">
        <f>IF(ISNUMBER(Datos!R17),Datos!R17," - ")</f>
        <v>2</v>
      </c>
    </row>
    <row r="18" spans="1:4" ht="14.25" thickTop="1" thickBot="1">
      <c r="A18" s="851" t="str">
        <f>Datos!A18</f>
        <v>TOTAL</v>
      </c>
      <c r="B18" s="852">
        <f>SUBTOTAL(9,B15:B17)</f>
        <v>92</v>
      </c>
      <c r="C18" s="856">
        <f>SUBTOTAL(9,C15:C17)</f>
        <v>97</v>
      </c>
      <c r="D18" s="854">
        <f>SUBTOTAL(9,D15:D17)</f>
        <v>223</v>
      </c>
    </row>
    <row r="19" spans="1:4" ht="16.5" customHeight="1" thickTop="1" thickBot="1">
      <c r="A19" s="796" t="str">
        <f>Datos!A19</f>
        <v>TOTAL JURISDICCIONES</v>
      </c>
      <c r="B19" s="801">
        <f>SUBTOTAL(9,B8:B18)</f>
        <v>507</v>
      </c>
      <c r="C19" s="802">
        <f>SUBTOTAL(9,C8:C18)</f>
        <v>223</v>
      </c>
      <c r="D19" s="803">
        <f>SUBTOTAL(9,D8:D18)</f>
        <v>4985</v>
      </c>
    </row>
    <row r="20" spans="1:4" ht="7.5" customHeight="1"/>
    <row r="21" spans="1:4" ht="6" customHeight="1"/>
    <row r="22" spans="1:4">
      <c r="A22" s="394" t="str">
        <f>Criterios!A4</f>
        <v>Fecha Informe: 07 mar. 2024</v>
      </c>
    </row>
    <row r="27" spans="1:4">
      <c r="A27" s="417"/>
    </row>
  </sheetData>
  <sheetProtection algorithmName="SHA-512" hashValue="YCZQXIVG+M0dQ6sGABFLVFKDY6KUwCeK4dlfZaAnKerkaKgfplUiJWPdXmlKgZhC4FgAuNdVfByRvoibehN9GQ==" saltValue="GqnUG3KUmC8eCyVsTN94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PONFERRADA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5.2631578947368418E-2</v>
      </c>
      <c r="C10" s="459">
        <f>IF(ISNUMBER((Datos!J10-Datos!T10)/Datos!T10),(Datos!J10-Datos!T10)/Datos!T10," - ")</f>
        <v>-0.15</v>
      </c>
      <c r="D10" s="459">
        <f>IF(ISNUMBER((Datos!K10-Datos!U10)/Datos!U10),(Datos!K10-Datos!U10)/Datos!U10," - ")</f>
        <v>0.18181818181818182</v>
      </c>
      <c r="E10" s="459">
        <f>IF(ISNUMBER((Datos!L10-Datos!V10)/Datos!V10),(Datos!L10-Datos!V10)/Datos!V10," - ")</f>
        <v>-0.14285714285714285</v>
      </c>
      <c r="F10" s="459">
        <f>IF(ISNUMBER((Datos!M10-Datos!W10)/Datos!W10),(Datos!M10-Datos!W10)/Datos!W10," - ")</f>
        <v>-0.14285714285714285</v>
      </c>
      <c r="G10" s="460">
        <f>IF(ISNUMBER((Datos!N10-Datos!X10)/Datos!X10),(Datos!N10-Datos!X10)/Datos!X10," - ")</f>
        <v>0.66666666666666663</v>
      </c>
      <c r="H10" s="458">
        <f>IF(ISNUMBER(((NºAsuntos!G10/NºAsuntos!E10)-Datos!BD10)/Datos!BD10),((NºAsuntos!G10/NºAsuntos!E10)-Datos!BD10)/Datos!BD10," - ")</f>
        <v>0.39037433155080192</v>
      </c>
      <c r="I10" s="459">
        <f>IF(ISNUMBER(((NºAsuntos!I10/NºAsuntos!G10)-Datos!BE10)/Datos!BE10),((NºAsuntos!I10/NºAsuntos!G10)-Datos!BE10)/Datos!BE10," - ")</f>
        <v>-0.27472527472527469</v>
      </c>
      <c r="J10" s="464">
        <f>IF(ISNUMBER((('Resol  Asuntos'!D10/NºAsuntos!G10)-Datos!BF10)/Datos!BF10),(('Resol  Asuntos'!D10/NºAsuntos!G10)-Datos!BF10)/Datos!BF10," - ")</f>
        <v>-0.27472527472527469</v>
      </c>
      <c r="K10" s="465">
        <f>IF(ISNUMBER((((NºAsuntos!C10+NºAsuntos!E10)/NºAsuntos!G10)-Datos!BG10)/Datos!BG10),(((NºAsuntos!C10+NºAsuntos!E10)/NºAsuntos!G10)-Datos!BG10)/Datos!BG10," - ")</f>
        <v>-0.19723865877712027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177.47368421052633</v>
      </c>
      <c r="C13" s="858">
        <f>IF(ISNUMBER(
   IF(J_V="SI",(Datos!J13-Datos!T13)/Datos!T13,(Datos!J13+Datos!Z13-(Datos!T13+Datos!AH13))/(Datos!T13+Datos!AH13))
     ),IF(J_V="SI",(Datos!J13-Datos!T13)/Datos!T13,(Datos!J13+Datos!Z13-(Datos!T13+Datos!AH13))/(Datos!T13+Datos!AH13))," - ")</f>
        <v>108.4</v>
      </c>
      <c r="D13" s="858">
        <f>IF(ISNUMBER(
   IF(J_V="SI",(Datos!K13-Datos!U13)/Datos!U13,(Datos!K13+Datos!AA13-(Datos!U13+Datos!AI13))/(Datos!U13+Datos!AI13))
     ),IF(J_V="SI",(Datos!K13-Datos!U13)/Datos!U13,(Datos!K13+Datos!AA13-(Datos!U13+Datos!AI13))/(Datos!U13+Datos!AI13))," - ")</f>
        <v>185.72727272727272</v>
      </c>
      <c r="E13" s="858">
        <f>IF(ISNUMBER(
   IF(J_V="SI",(Datos!L13-Datos!V13)/Datos!V13,(Datos!L13+Datos!AB13-(Datos!V13+Datos!AJ13))/(Datos!V13+Datos!AJ13))
     ),IF(J_V="SI",(Datos!L13-Datos!V13)/Datos!V13,(Datos!L13+Datos!AB13-(Datos!V13+Datos!AJ13))/(Datos!V13+Datos!AJ13))," - ")</f>
        <v>123.46428571428571</v>
      </c>
      <c r="F13" s="859">
        <f>IF(ISNUMBER((Datos!M13-Datos!W13)/Datos!W13),(Datos!M13-Datos!W13)/Datos!W13," - ")</f>
        <v>85</v>
      </c>
      <c r="G13" s="860">
        <f>IF(ISNUMBER((Datos!N13-Datos!X13)/Datos!X13),(Datos!N13-Datos!X13)/Datos!X13," - ")</f>
        <v>198.33333333333334</v>
      </c>
      <c r="H13" s="860">
        <f>IF(ISNUMBER(((NºAsuntos!G13/NºAsuntos!E13)-Datos!BD13)/Datos!BD13),((NºAsuntos!G13/NºAsuntos!E13)-Datos!BD13)/Datos!BD13," - ")</f>
        <v>0.70683064650157879</v>
      </c>
      <c r="I13" s="860">
        <f>IF(ISNUMBER(((NºAsuntos!I13/NºAsuntos!G13)-Datos!BE13)/Datos!BE13),((NºAsuntos!I13/NºAsuntos!G13)-Datos!BE13)/Datos!BE13," - ")</f>
        <v>-0.33344345527889829</v>
      </c>
      <c r="J13" s="860">
        <f>IF(ISNUMBER((('Resol  Asuntos'!D13/NºAsuntos!G13)-Datos!BF13)/Datos!BF13),(('Resol  Asuntos'!D13/NºAsuntos!G13)-Datos!BF13)/Datos!BF13," - ")</f>
        <v>-0.53943524829600786</v>
      </c>
      <c r="K13" s="860">
        <f>IF(ISNUMBER((((NºAsuntos!C13+NºAsuntos!E13)/NºAsuntos!G13)-Datos!BG13)/Datos!BG13),(((NºAsuntos!C13+NºAsuntos!E13)/NºAsuntos!G13)-Datos!BG13)/Datos!BG13," - ")</f>
        <v>-0.23390257908271539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1.2558139534883721</v>
      </c>
      <c r="C17" s="459">
        <f>IF(ISNUMBER(
   IF(D_I="SI",(Datos!J17-Datos!T17)/Datos!T17,(Datos!J17+Datos!AD17-(Datos!T17+Datos!AL17))/(Datos!T17+Datos!AL17))
     ),IF(D_I="SI",(Datos!J17-Datos!T17)/Datos!T17,(Datos!J17+Datos!AD17-(Datos!T17+Datos!AL17))/(Datos!T17+Datos!AL17))," - ")</f>
        <v>0.14285714285714285</v>
      </c>
      <c r="D17" s="459">
        <f>IF(ISNUMBER(
   IF(D_I="SI",(Datos!K17-Datos!U17)/Datos!U17,(Datos!K17+Datos!AE17-(Datos!U17+Datos!AM17))/(Datos!U17+Datos!AM17))
     ),IF(D_I="SI",(Datos!K17-Datos!U17)/Datos!U17,(Datos!K17+Datos!AE17-(Datos!U17+Datos!AM17))/(Datos!U17+Datos!AM17))," - ")</f>
        <v>-3.2967032967032968E-2</v>
      </c>
      <c r="E17" s="459">
        <f>IF(ISNUMBER(
   IF(D_I="SI",(Datos!L17-Datos!V17)/Datos!V17,(Datos!L17+Datos!AF17-(Datos!V17+Datos!AN17))/(Datos!V17+Datos!AN17))
     ),IF(D_I="SI",(Datos!L17-Datos!V17)/Datos!V17,(Datos!L17+Datos!AF17-(Datos!V17+Datos!AN17))/(Datos!V17+Datos!AN17))," - ")</f>
        <v>0.99065420560747663</v>
      </c>
      <c r="F17" s="459">
        <f>IF(ISNUMBER((Datos!M17-Datos!W17)/Datos!W17),(Datos!M17-Datos!W17)/Datos!W17," - ")</f>
        <v>-0.33333333333333331</v>
      </c>
      <c r="G17" s="460">
        <f>IF(ISNUMBER((Datos!N17-Datos!X17)/Datos!X17),(Datos!N17-Datos!X17)/Datos!X17," - ")</f>
        <v>0.17307692307692307</v>
      </c>
      <c r="H17" s="458">
        <f>IF(ISNUMBER(((NºAsuntos!G17/NºAsuntos!E17)-Datos!BD17)/Datos!BD17),((NºAsuntos!G17/NºAsuntos!E17)-Datos!BD17)/Datos!BD17," - ")</f>
        <v>-0.15384615384615385</v>
      </c>
      <c r="I17" s="459">
        <f>IF(ISNUMBER(((NºAsuntos!I17/NºAsuntos!G17)-Datos!BE17)/Datos!BE17),((NºAsuntos!I17/NºAsuntos!G17)-Datos!BE17)/Datos!BE17," - ")</f>
        <v>1.0585174171622769</v>
      </c>
      <c r="J17" s="464">
        <f>IF(ISNUMBER((('Resol  Asuntos'!D17/NºAsuntos!G17)-Datos!BF17)/Datos!BF17),(('Resol  Asuntos'!D17/NºAsuntos!G17)-Datos!BF17)/Datos!BF17," - ")</f>
        <v>-0.31060606060606066</v>
      </c>
      <c r="K17" s="465">
        <f>IF(ISNUMBER((((NºAsuntos!C17+NºAsuntos!E17)/NºAsuntos!G17)-Datos!BG17)/Datos!BG17),(((NºAsuntos!C17+NºAsuntos!E17)/NºAsuntos!G17)-Datos!BG17)/Datos!BG17," - ")</f>
        <v>0.68170339761248866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20.720930232558139</v>
      </c>
      <c r="C18" s="858">
        <f>IF(ISNUMBER(
   IF(Criterios!B14="SI",(Datos!J18-Datos!T18)/Datos!T18,(Datos!J18+Datos!AD18-(Datos!T18+Datos!AL18))/(Datos!T18+Datos!AL18))
     ),IF(Criterios!B14="SI",(Datos!J18-Datos!T18)/Datos!T18,(Datos!J18+Datos!AD18-(Datos!T18+Datos!AL18))/(Datos!T18+Datos!AL18))," - ")</f>
        <v>12.794642857142858</v>
      </c>
      <c r="D18" s="858">
        <f>IF(ISNUMBER(
   IF(Criterios!B14="SI",(Datos!K18-Datos!U18)/Datos!U18,(Datos!K18+Datos!AE18-(Datos!U18+Datos!AM18))/(Datos!U18+Datos!AM18))
     ),IF(Criterios!B14="SI",(Datos!K18-Datos!U18)/Datos!U18,(Datos!K18+Datos!AE18-(Datos!U18+Datos!AM18))/(Datos!U18+Datos!AM18))," - ")</f>
        <v>13.021978021978022</v>
      </c>
      <c r="E18" s="858">
        <f>IF(ISNUMBER(
   IF(Criterios!B14="SI",(Datos!L18-Datos!V18)/Datos!V18,(Datos!L18+Datos!AF18-(Datos!V18+Datos!AN18))/(Datos!V18+Datos!AN18))
     ),IF(Criterios!B14="SI",(Datos!L18-Datos!V18)/Datos!V18,(Datos!L18+Datos!AF18-(Datos!V18+Datos!AN18))/(Datos!V18+Datos!AN18))," - ")</f>
        <v>18.289719626168225</v>
      </c>
      <c r="F18" s="859">
        <f>IF(ISNUMBER((Datos!M18-Datos!W18)/Datos!W18),(Datos!M18-Datos!W18)/Datos!W18," - ")</f>
        <v>6.9047619047619051</v>
      </c>
      <c r="G18" s="860">
        <f>IF(ISNUMBER((Datos!N18-Datos!X18)/Datos!X18),(Datos!N18-Datos!X18)/Datos!X18," - ")</f>
        <v>15.384615384615385</v>
      </c>
      <c r="H18" s="860">
        <f>IF(ISNUMBER(((NºAsuntos!G18/NºAsuntos!E18)-Datos!BD18)/Datos!BD18),((NºAsuntos!G18/NºAsuntos!E18)-Datos!BD18)/Datos!BD18," - ")</f>
        <v>1.6479960169280508E-2</v>
      </c>
      <c r="I18" s="860">
        <f>IF(ISNUMBER(((NºAsuntos!I18/NºAsuntos!G18)-Datos!BE18)/Datos!BE18),((NºAsuntos!I18/NºAsuntos!G18)-Datos!BE18)/Datos!BE18," - ")</f>
        <v>0.37567749685055513</v>
      </c>
      <c r="J18" s="860">
        <f>IF(ISNUMBER((('Resol  Asuntos'!D18/NºAsuntos!G18)-Datos!BF18)/Datos!BF18),(('Resol  Asuntos'!D18/NºAsuntos!G18)-Datos!BF18)/Datos!BF18," - ")</f>
        <v>-0.43625914315569486</v>
      </c>
      <c r="K18" s="860">
        <f>IF(ISNUMBER((((NºAsuntos!C18+NºAsuntos!E18)/NºAsuntos!G18)-Datos!BG18)/Datos!BG18),(((NºAsuntos!C18+NºAsuntos!E18)/NºAsuntos!G18)-Datos!BG18)/Datos!BG18," - ")</f>
        <v>0.22931113644279802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49.085714285714289</v>
      </c>
      <c r="C19" s="805">
        <f>IF(ISNUMBER(
   IF(J_V="SI",(Datos!J19-Datos!T19)/Datos!T19,(Datos!J19+Datos!Z19-(Datos!T19+Datos!AH19))/(Datos!T19+Datos!AH19))
     ),IF(J_V="SI",(Datos!J19-Datos!T19)/Datos!T19,(Datos!J19+Datos!Z19-(Datos!T19+Datos!AH19))/(Datos!T19+Datos!AH19))," - ")</f>
        <v>27.280303030303031</v>
      </c>
      <c r="D19" s="805">
        <f>IF(ISNUMBER(
   IF(J_V="SI",(Datos!K19-Datos!U19)/Datos!U19,(Datos!K19+Datos!AA19-(Datos!U19+Datos!AI19))/(Datos!U19+Datos!AI19))
     ),IF(J_V="SI",(Datos!K19-Datos!U19)/Datos!U19,(Datos!K19+Datos!AA19-(Datos!U19+Datos!AI19))/(Datos!U19+Datos!AI19))," - ")</f>
        <v>31.647058823529413</v>
      </c>
      <c r="E19" s="805">
        <f>IF(ISNUMBER(
   IF(J_V="SI",(Datos!L19-Datos!V19)/Datos!V19,(Datos!L19+Datos!AB19-(Datos!V19+Datos!AJ19))/(Datos!V19+Datos!AJ19))
     ),IF(J_V="SI",(Datos!L19-Datos!V19)/Datos!V19,(Datos!L19+Datos!AB19-(Datos!V19+Datos!AJ19))/(Datos!V19+Datos!AJ19))," - ")</f>
        <v>40.103703703703701</v>
      </c>
      <c r="F19" s="806">
        <f>IF(ISNUMBER((Datos!M19-Datos!W19)/Datos!W19),(Datos!M19-Datos!W19)/Datos!W19," - ")</f>
        <v>26.428571428571427</v>
      </c>
      <c r="G19" s="807">
        <f>IF(ISNUMBER((Datos!N19-Datos!X19)/Datos!X19),(Datos!N19-Datos!X19)/Datos!X19," - ")</f>
        <v>25.363636363636363</v>
      </c>
      <c r="H19" s="808">
        <f>IF(ISNUMBER((Tasas!B19-Datos!BD19)/Datos!BD19),(Tasas!B19-Datos!BD19)/Datos!BD19," - ")</f>
        <v>0.15440979499219989</v>
      </c>
      <c r="I19" s="809">
        <f>IF(ISNUMBER((Tasas!C19-Datos!BE19)/Datos!BE19),(Tasas!C19-Datos!BE19)/Datos!BE19," - ")</f>
        <v>0.25903236569903243</v>
      </c>
      <c r="J19" s="810">
        <f>IF(ISNUMBER((Tasas!D19-Datos!BF19)/Datos!BF19),(Tasas!D19-Datos!BF19)/Datos!BF19," - ")</f>
        <v>-0.1598455598455599</v>
      </c>
      <c r="K19" s="810">
        <f>IF(ISNUMBER((Tasas!E19-Datos!BG19)/Datos!BG19),(Tasas!E19-Datos!BG19)/Datos!BG19," - ")</f>
        <v>0.16215455962291389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8yDqLPWm//9wfLTcH5PTzIDYL5CLqjzAL2Mfgc33ZEWS/knbrw69X6PJeqLCRRXRMRa0IlOtolDGbrZrCk+9Q==" saltValue="V4XTsibr//IKx240OBz7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PONFERRADA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0.94011976047904189</v>
      </c>
      <c r="C9" s="446">
        <f>IF(ISNUMBER(NºAsuntos!I9/NºAsuntos!G9),NºAsuntos!I9/NºAsuntos!G9," - ")</f>
        <v>1.6957373836354728</v>
      </c>
      <c r="D9" s="447">
        <f>IF(ISNUMBER('Resol  Asuntos'!D9/NºAsuntos!G9),'Resol  Asuntos'!D9/NºAsuntos!G9," - ")</f>
        <v>0.29201371876531113</v>
      </c>
      <c r="E9" s="448">
        <f>IF(ISNUMBER((NºAsuntos!C9+NºAsuntos!E9)/NºAsuntos!G9),(NºAsuntos!C9+NºAsuntos!E9)/NºAsuntos!G9," - ")</f>
        <v>2.7153356197942187</v>
      </c>
      <c r="G9" s="466"/>
    </row>
    <row r="10" spans="1:7">
      <c r="A10" s="405" t="str">
        <f>Datos!A10</f>
        <v>Jdos. Violencia contra la mujer</v>
      </c>
      <c r="B10" s="445">
        <f>IF(ISNUMBER(NºAsuntos!G10/NºAsuntos!E10),NºAsuntos!G10/NºAsuntos!E10," - ")</f>
        <v>0.76470588235294112</v>
      </c>
      <c r="C10" s="446">
        <f>IF(ISNUMBER(NºAsuntos!I10/NºAsuntos!G10),NºAsuntos!I10/NºAsuntos!G10," - ")</f>
        <v>1.8461538461538463</v>
      </c>
      <c r="D10" s="447">
        <f>IF(ISNUMBER('Resol  Asuntos'!D10/NºAsuntos!G10),'Resol  Asuntos'!D10/NºAsuntos!G10," - ")</f>
        <v>0.46153846153846156</v>
      </c>
      <c r="E10" s="448">
        <f>IF(ISNUMBER((NºAsuntos!C10+NºAsuntos!E10)/NºAsuntos!G10),(NºAsuntos!C10+NºAsuntos!E10)/NºAsuntos!G10," - ")</f>
        <v>2.8461538461538463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0.93875685557586841</v>
      </c>
      <c r="C13" s="862">
        <f>IF(ISNUMBER(NºAsuntos!I13/NºAsuntos!G13),NºAsuntos!I13/NºAsuntos!G13," - ")</f>
        <v>1.6966893865628043</v>
      </c>
      <c r="D13" s="863">
        <f>IF(ISNUMBER('Resol  Asuntos'!D13/NºAsuntos!G13),'Resol  Asuntos'!D13/NºAsuntos!G13," - ")</f>
        <v>0.29308666017526774</v>
      </c>
      <c r="E13" s="864">
        <f>IF(ISNUMBER((NºAsuntos!C13+NºAsuntos!E13)/NºAsuntos!G13),(NºAsuntos!C13+NºAsuntos!E13)/NºAsuntos!G13," - ")</f>
        <v>2.7161635832521909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0.83839096683133385</v>
      </c>
      <c r="C15" s="446">
        <f>IF(ISNUMBER(NºAsuntos!I15/NºAsuntos!G15),NºAsuntos!I15/NºAsuntos!G15," - ")</f>
        <v>1.5580808080808082</v>
      </c>
      <c r="D15" s="447">
        <f>IF(ISNUMBER('Resol  Asuntos'!D15/NºAsuntos!G15),'Resol  Asuntos'!D15/NºAsuntos!G15," - ")</f>
        <v>0.12794612794612795</v>
      </c>
      <c r="E15" s="448">
        <f>IF(ISNUMBER((NºAsuntos!C15+NºAsuntos!E15)/NºAsuntos!G15),(NºAsuntos!C15+NºAsuntos!E15)/NºAsuntos!G15," - ")</f>
        <v>2.6018518518518516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0.6875</v>
      </c>
      <c r="C17" s="446">
        <f>IF(ISNUMBER(NºAsuntos!I17/NºAsuntos!G17),NºAsuntos!I17/NºAsuntos!G17," - ")</f>
        <v>2.4204545454545454</v>
      </c>
      <c r="D17" s="447">
        <f>IF(ISNUMBER('Resol  Asuntos'!D17/NºAsuntos!G17),'Resol  Asuntos'!D17/NºAsuntos!G17," - ")</f>
        <v>0.15909090909090909</v>
      </c>
      <c r="E17" s="448">
        <f>IF(ISNUMBER((NºAsuntos!C17+NºAsuntos!E17)/NºAsuntos!G17),(NºAsuntos!C17+NºAsuntos!E17)/NºAsuntos!G17," - ")</f>
        <v>3.6590909090909092</v>
      </c>
      <c r="G17" s="466"/>
    </row>
    <row r="18" spans="1:7" ht="14.25" thickTop="1" thickBot="1">
      <c r="A18" s="851" t="str">
        <f>Datos!A18</f>
        <v>TOTAL</v>
      </c>
      <c r="B18" s="861">
        <f>IF(ISNUMBER(NºAsuntos!G18/NºAsuntos!E18),NºAsuntos!G18/NºAsuntos!E18," - ")</f>
        <v>0.82588996763754041</v>
      </c>
      <c r="C18" s="862">
        <f>IF(ISNUMBER(NºAsuntos!I18/NºAsuntos!G18),NºAsuntos!I18/NºAsuntos!G18," - ")</f>
        <v>1.6175548589341693</v>
      </c>
      <c r="D18" s="865">
        <f>IF(ISNUMBER('Resol  Asuntos'!D18/NºAsuntos!G18),'Resol  Asuntos'!D18/NºAsuntos!G18," - ")</f>
        <v>0.13009404388714735</v>
      </c>
      <c r="E18" s="864">
        <f>IF(ISNUMBER((NºAsuntos!C18+NºAsuntos!E18)/NºAsuntos!G18),(NºAsuntos!C18+NºAsuntos!E18)/NºAsuntos!G18," - ")</f>
        <v>2.6747648902821317</v>
      </c>
      <c r="G18" s="466"/>
    </row>
    <row r="19" spans="1:7" ht="15.75" customHeight="1" thickTop="1" thickBot="1">
      <c r="A19" s="796" t="str">
        <f>Datos!A19</f>
        <v>TOTAL JURISDICCIONES</v>
      </c>
      <c r="B19" s="811">
        <f>IF(ISNUMBER(NºAsuntos!G19/NºAsuntos!E19),NºAsuntos!G19/NºAsuntos!E19," - ")</f>
        <v>0.89204393249397262</v>
      </c>
      <c r="C19" s="812">
        <f>IF(ISNUMBER(NºAsuntos!I19/NºAsuntos!G19),NºAsuntos!I19/NºAsuntos!G19," - ")</f>
        <v>1.6663663663663664</v>
      </c>
      <c r="D19" s="813">
        <f>IF(ISNUMBER('Resol  Asuntos'!D19/NºAsuntos!G19),'Resol  Asuntos'!D19/NºAsuntos!G19," - ")</f>
        <v>0.23063063063063063</v>
      </c>
      <c r="E19" s="814">
        <f>IF(ISNUMBER((NºAsuntos!C19+NºAsuntos!E19)/NºAsuntos!G19),(NºAsuntos!C19+NºAsuntos!E19)/NºAsuntos!G19," - ")</f>
        <v>2.7003003003003001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7jnYAlqC6lb5RYFU6V2nb4SoikiId09/W/BuPILND5DWCobGqv9564IaF30AtMjvh8Z/Oe4Qkym9srtoh0XoYw==" saltValue="PSKeukDNNCYlS0/z1bW4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PONFERRADA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414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126</v>
      </c>
      <c r="Y9" s="337">
        <f>SUM(W9:X9)</f>
        <v>126</v>
      </c>
      <c r="Z9" s="338" t="str">
        <f>IF(ISNUMBER(Datos!CC9),Datos!CC9," - ")</f>
        <v xml:space="preserve"> - </v>
      </c>
      <c r="AA9" s="335" t="str">
        <f>IF(ISNUMBER(IF(J_V="SI",Datos!L9,Datos!L9+Datos!AB9)-IF(Monitorios="SI",Datos!CD9,0)),
                          IF(J_V="SI",Datos!L9,Datos!L9+Datos!AB9)-IF(Monitorios="SI",Datos!CD9,0),
                          " - ")</f>
        <v xml:space="preserve"> - </v>
      </c>
      <c r="AB9" s="337">
        <f>IF(ISNUMBER(Datos!R9),Datos!R9," - ")</f>
        <v>4718</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596</v>
      </c>
      <c r="AJ9" s="232" t="str">
        <f>IF(ISNUMBER(Datos!BW9),Datos!BW9," - ")</f>
        <v xml:space="preserve"> - </v>
      </c>
      <c r="AK9" s="231" t="str">
        <f>IF(ISNUMBER(Datos!BX9),Datos!BX9," - ")</f>
        <v xml:space="preserve"> - </v>
      </c>
      <c r="AL9" s="246">
        <f>IF(ISNUMBER(NºAsuntos!G9/NºAsuntos!E9),NºAsuntos!G9/NºAsuntos!E9," - ")</f>
        <v>0.94011976047904189</v>
      </c>
      <c r="AM9" s="263">
        <f>IF(ISNUMBER(((NºAsuntos!I9/NºAsuntos!G9)*11)/factor_trimestre),((NºAsuntos!I9/NºAsuntos!G9)*11)/factor_trimestre," - ")</f>
        <v>5.087212150906419</v>
      </c>
      <c r="AN9" s="247">
        <f>IF(ISNUMBER('Resol  Asuntos'!D9/NºAsuntos!G9),'Resol  Asuntos'!D9/NºAsuntos!G9," - ")</f>
        <v>0.29201371876531113</v>
      </c>
      <c r="AO9" s="248">
        <f>IF(ISNUMBER((NºAsuntos!C9+NºAsuntos!E9)/NºAsuntos!G9),(NºAsuntos!C9+NºAsuntos!E9)/NºAsuntos!G9," - ")</f>
        <v>2.7153356197942187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0</v>
      </c>
      <c r="Y10" s="337">
        <f t="shared" ref="Y10:Y12" si="0">SUM(W10:X10)</f>
        <v>13</v>
      </c>
      <c r="Z10" s="338" t="str">
        <f>IF(ISNUMBER(Datos!CC10),Datos!CC10," - ")</f>
        <v xml:space="preserve"> - </v>
      </c>
      <c r="AA10" s="335">
        <f>IF(ISNUMBER(Datos!L10),Datos!L10,"-")</f>
        <v>24</v>
      </c>
      <c r="AB10" s="337">
        <f>IF(ISNUMBER(Datos!R10),Datos!R10," - ")</f>
        <v>44</v>
      </c>
      <c r="AC10" s="337">
        <f t="shared" ref="AC10:AC12" si="1">IF(ISNUMBER(AA10+AB10),AA10+AB10," - ")</f>
        <v>68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0.76470588235294112</v>
      </c>
      <c r="AM10" s="263">
        <f>IF(ISNUMBER(((NºAsuntos!I10/NºAsuntos!G10)*11)/factor_trimestre),((NºAsuntos!I10/NºAsuntos!G10)*11)/factor_trimestre," - ")</f>
        <v>5.5384615384615392</v>
      </c>
      <c r="AN10" s="247">
        <f>IF(ISNUMBER('Resol  Asuntos'!D10/NºAsuntos!G10),'Resol  Asuntos'!D10/NºAsuntos!G10," - ")</f>
        <v>0.46153846153846156</v>
      </c>
      <c r="AO10" s="248">
        <f>IF(ISNUMBER((NºAsuntos!C10+NºAsuntos!E10)/NºAsuntos!G10),(NºAsuntos!C10+NºAsuntos!E10)/NºAsuntos!G10," - ")</f>
        <v>2.8461538461538463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20</v>
      </c>
      <c r="G13" s="869">
        <f t="shared" si="3"/>
        <v>20</v>
      </c>
      <c r="H13" s="868">
        <f t="shared" si="3"/>
        <v>0</v>
      </c>
      <c r="I13" s="870">
        <f t="shared" si="3"/>
        <v>0</v>
      </c>
      <c r="J13" s="870">
        <f t="shared" si="3"/>
        <v>0</v>
      </c>
      <c r="K13" s="870">
        <f t="shared" si="3"/>
        <v>0</v>
      </c>
      <c r="L13" s="870">
        <f t="shared" si="3"/>
        <v>415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126</v>
      </c>
      <c r="Y13" s="871">
        <f t="shared" si="4"/>
        <v>139</v>
      </c>
      <c r="Z13" s="871">
        <f t="shared" si="4"/>
        <v>0</v>
      </c>
      <c r="AA13" s="871">
        <f t="shared" si="4"/>
        <v>24</v>
      </c>
      <c r="AB13" s="871">
        <f t="shared" si="4"/>
        <v>4762</v>
      </c>
      <c r="AC13" s="871">
        <f t="shared" si="4"/>
        <v>68</v>
      </c>
      <c r="AD13" s="871">
        <f t="shared" si="4"/>
        <v>0</v>
      </c>
      <c r="AE13" s="875">
        <f t="shared" si="4"/>
        <v>0</v>
      </c>
      <c r="AF13" s="868">
        <f t="shared" si="4"/>
        <v>0</v>
      </c>
      <c r="AG13" s="876">
        <f t="shared" si="4"/>
        <v>0</v>
      </c>
      <c r="AH13" s="873">
        <f t="shared" si="4"/>
        <v>0</v>
      </c>
      <c r="AI13" s="868">
        <f t="shared" si="4"/>
        <v>602</v>
      </c>
      <c r="AJ13" s="870">
        <f t="shared" si="4"/>
        <v>0</v>
      </c>
      <c r="AK13" s="873">
        <f>SUBTOTAL(9,AK9:AK12)</f>
        <v>0</v>
      </c>
      <c r="AL13" s="877">
        <f>IF(ISNUMBER(NºAsuntos!G13/NºAsuntos!E13),NºAsuntos!G13/NºAsuntos!E13," - ")</f>
        <v>0.93875685557586841</v>
      </c>
      <c r="AM13" s="877">
        <f>IF(ISNUMBER(((NºAsuntos!I13/NºAsuntos!G13)*11)/factor_trimestre),((NºAsuntos!I13/NºAsuntos!G13)*11)/factor_trimestre," - ")</f>
        <v>5.0900681596884132</v>
      </c>
      <c r="AN13" s="878">
        <f>IF(ISNUMBER('Resol  Asuntos'!D13/NºAsuntos!G13),'Resol  Asuntos'!D13/NºAsuntos!G13," - ")</f>
        <v>0.29308666017526774</v>
      </c>
      <c r="AO13" s="879">
        <f>IF(ISNUMBER((NºAsuntos!C13+NºAsuntos!E13)/NºAsuntos!G13),(NºAsuntos!C13+NºAsuntos!E13)/NºAsuntos!G13," - ")</f>
        <v>2.7161635832521909</v>
      </c>
      <c r="AP13" s="880" t="str">
        <f t="shared" si="2"/>
        <v xml:space="preserve"> - </v>
      </c>
      <c r="AQ13" s="880">
        <f>IF(ISNUMBER((H13-W13+K13)/(F13)),(H13-W13+K13)/(F13)," - ")</f>
        <v>-0.65</v>
      </c>
      <c r="AR13" s="881">
        <f>IF(ISNUMBER((Datos!P13-Datos!Q13)/(Datos!R13-Datos!P13+Datos!Q13)),(Datos!P13-Datos!Q13)/(Datos!R13-Datos!P13+Datos!Q13)," - ")</f>
        <v>6.4609881511289963E-2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3</v>
      </c>
      <c r="B15" s="278" t="s">
        <v>400</v>
      </c>
      <c r="C15" s="163" t="str">
        <f>Datos!A15</f>
        <v xml:space="preserve">Jdos. Instrucción                               </v>
      </c>
      <c r="D15" s="163"/>
      <c r="E15" s="1028">
        <f>IF(ISNUMBER(Datos!AQ15),Datos!AQ15," - ")</f>
        <v>3</v>
      </c>
      <c r="F15" s="228">
        <f>IF(ISNUMBER(AA15+W15-Datos!J15-K15),AA15+W15-Datos!J15-K15," - ")</f>
        <v>1622</v>
      </c>
      <c r="G15" s="336">
        <f>IF(ISNUMBER(IF(D_I="SI",Datos!I15,Datos!I15+Datos!AC15)),IF(D_I="SI",Datos!I15,Datos!I15+Datos!AC15)," - ")</f>
        <v>1674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85</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1188</v>
      </c>
      <c r="X15" s="229">
        <f>IF(ISNUMBER(Datos!Q15),Datos!Q15," - ")</f>
        <v>89</v>
      </c>
      <c r="Y15" s="337">
        <f>SUM(W15)</f>
        <v>1188</v>
      </c>
      <c r="Z15" s="338" t="str">
        <f>IF(ISNUMBER(Datos!CC15),Datos!CC15," - ")</f>
        <v xml:space="preserve"> - </v>
      </c>
      <c r="AA15" s="335">
        <f>IF(ISNUMBER(IF(D_I="SI",Datos!L15,Datos!L15+Datos!AF15)),IF(D_I="SI",Datos!L15,Datos!L15+Datos!AF15)," - ")</f>
        <v>1851</v>
      </c>
      <c r="AB15" s="337">
        <f>IF(ISNUMBER(Datos!R15),Datos!R15," - ")</f>
        <v>221</v>
      </c>
      <c r="AC15" s="337">
        <f t="shared" ref="AC15:AC17" si="6">IF(ISNUMBER(AA15+AB15),AA15+AB15," - ")</f>
        <v>2072</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152</v>
      </c>
      <c r="AJ15" s="234" t="str">
        <f>IF(ISNUMBER(Datos!BW15),Datos!BW15," - ")</f>
        <v xml:space="preserve"> - </v>
      </c>
      <c r="AK15" s="235" t="str">
        <f>IF(ISNUMBER(Datos!BX15),Datos!BX15," - ")</f>
        <v xml:space="preserve"> - </v>
      </c>
      <c r="AL15" s="246">
        <f>IF(ISNUMBER(NºAsuntos!G15/NºAsuntos!E15),NºAsuntos!G15/NºAsuntos!E15," - ")</f>
        <v>0.83839096683133385</v>
      </c>
      <c r="AM15" s="263">
        <f>IF(ISNUMBER(((NºAsuntos!I15/NºAsuntos!G15)*11)/factor_trimestre),((NºAsuntos!I15/NºAsuntos!G15)*11)/factor_trimestre," - ")</f>
        <v>4.6742424242424248</v>
      </c>
      <c r="AN15" s="247">
        <f>IF(ISNUMBER('Resol  Asuntos'!D15/NºAsuntos!G15),'Resol  Asuntos'!D15/NºAsuntos!G15," - ")</f>
        <v>0.12794612794612795</v>
      </c>
      <c r="AO15" s="248">
        <f>IF(ISNUMBER((NºAsuntos!C15+NºAsuntos!E15)/NºAsuntos!G15),(NºAsuntos!C15+NºAsuntos!E15)/NºAsuntos!G15," - ")</f>
        <v>2.6018518518518516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88</v>
      </c>
      <c r="X17" s="229">
        <f>IF(ISNUMBER(Datos!Q17),Datos!Q17," - ")</f>
        <v>8</v>
      </c>
      <c r="Y17" s="337">
        <f t="shared" si="7"/>
        <v>96</v>
      </c>
      <c r="Z17" s="338" t="str">
        <f>IF(ISNUMBER(Datos!CC17),Datos!CC17," - ")</f>
        <v xml:space="preserve"> - </v>
      </c>
      <c r="AA17" s="335">
        <f>IF(ISNUMBER(Datos!L17),Datos!L17,"-")</f>
        <v>213</v>
      </c>
      <c r="AB17" s="337">
        <f>IF(ISNUMBER(Datos!R17),Datos!R17," - ")</f>
        <v>2</v>
      </c>
      <c r="AC17" s="337">
        <f t="shared" si="6"/>
        <v>215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14</v>
      </c>
      <c r="AJ17" s="234" t="str">
        <f>IF(ISNUMBER(Datos!BW17),Datos!BW17," - ")</f>
        <v xml:space="preserve"> - </v>
      </c>
      <c r="AK17" s="235" t="str">
        <f>IF(ISNUMBER(Datos!BX17),Datos!BX17," - ")</f>
        <v xml:space="preserve"> - </v>
      </c>
      <c r="AL17" s="246">
        <f>IF(ISNUMBER(NºAsuntos!G17/NºAsuntos!E17),NºAsuntos!G17/NºAsuntos!E17," - ")</f>
        <v>0.6875</v>
      </c>
      <c r="AM17" s="263">
        <f>IF(ISNUMBER(((NºAsuntos!I17/NºAsuntos!G17)*11)/factor_trimestre),((NºAsuntos!I17/NºAsuntos!G17)*11)/factor_trimestre," - ")</f>
        <v>7.2613636363636367</v>
      </c>
      <c r="AN17" s="247">
        <f>IF(ISNUMBER('Resol  Asuntos'!D17/NºAsuntos!G17),'Resol  Asuntos'!D17/NºAsuntos!G17," - ")</f>
        <v>0.15909090909090909</v>
      </c>
      <c r="AO17" s="248">
        <f>IF(ISNUMBER((NºAsuntos!C17+NºAsuntos!E17)/NºAsuntos!G17),(NºAsuntos!C17+NºAsuntos!E17)/NºAsuntos!G17," - ")</f>
        <v>3.6590909090909092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1622</v>
      </c>
      <c r="G18" s="869">
        <f>SUBTOTAL(9,G15:G17)</f>
        <v>1868</v>
      </c>
      <c r="H18" s="868">
        <f t="shared" ref="H18:O18" si="10">SUBTOTAL(9,H14:H17)</f>
        <v>0</v>
      </c>
      <c r="I18" s="870">
        <f t="shared" si="10"/>
        <v>0</v>
      </c>
      <c r="J18" s="870">
        <f t="shared" si="10"/>
        <v>0</v>
      </c>
      <c r="K18" s="870">
        <f t="shared" si="10"/>
        <v>0</v>
      </c>
      <c r="L18" s="870">
        <f t="shared" si="10"/>
        <v>92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1276</v>
      </c>
      <c r="X18" s="870">
        <f t="shared" si="11"/>
        <v>97</v>
      </c>
      <c r="Y18" s="871">
        <f t="shared" si="11"/>
        <v>1284</v>
      </c>
      <c r="Z18" s="871">
        <f t="shared" si="11"/>
        <v>0</v>
      </c>
      <c r="AA18" s="871">
        <f t="shared" si="11"/>
        <v>2064</v>
      </c>
      <c r="AB18" s="871">
        <f t="shared" si="11"/>
        <v>223</v>
      </c>
      <c r="AC18" s="871">
        <f t="shared" si="11"/>
        <v>2287</v>
      </c>
      <c r="AD18" s="871">
        <f t="shared" si="11"/>
        <v>0</v>
      </c>
      <c r="AE18" s="875">
        <f t="shared" si="11"/>
        <v>0</v>
      </c>
      <c r="AF18" s="868">
        <f t="shared" si="11"/>
        <v>0</v>
      </c>
      <c r="AG18" s="876">
        <f t="shared" si="11"/>
        <v>0</v>
      </c>
      <c r="AH18" s="873">
        <f t="shared" si="11"/>
        <v>0</v>
      </c>
      <c r="AI18" s="868">
        <f t="shared" si="11"/>
        <v>166</v>
      </c>
      <c r="AJ18" s="870">
        <f t="shared" si="11"/>
        <v>0</v>
      </c>
      <c r="AK18" s="873">
        <f t="shared" si="11"/>
        <v>0</v>
      </c>
      <c r="AL18" s="877">
        <f>IF(ISNUMBER(NºAsuntos!G18/NºAsuntos!E18),NºAsuntos!G18/NºAsuntos!E18," - ")</f>
        <v>0.82588996763754041</v>
      </c>
      <c r="AM18" s="877">
        <f>IF(ISNUMBER(((NºAsuntos!I18/NºAsuntos!G18)*11)/factor_trimestre),((NºAsuntos!I18/NºAsuntos!G18)*11)/factor_trimestre," - ")</f>
        <v>4.8526645768025078</v>
      </c>
      <c r="AN18" s="878">
        <f>IF(ISNUMBER('Resol  Asuntos'!D18/NºAsuntos!G18),'Resol  Asuntos'!D18/NºAsuntos!G18," - ")</f>
        <v>0.13009404388714735</v>
      </c>
      <c r="AO18" s="879">
        <f>IF(ISNUMBER((NºAsuntos!C18+NºAsuntos!E18)/NºAsuntos!G18),(NºAsuntos!C18+NºAsuntos!E18)/NºAsuntos!G18," - ")</f>
        <v>2.6747648902821317</v>
      </c>
      <c r="AP18" s="880" t="str">
        <f t="shared" si="2"/>
        <v xml:space="preserve"> - </v>
      </c>
      <c r="AQ18" s="880">
        <f>IF(ISNUMBER((H18-W18+K18)/(F18)),(H18-W18+K18)/(F18)," - ")</f>
        <v>-0.78668310727496915</v>
      </c>
      <c r="AR18" s="881">
        <f>IF(ISNUMBER((Datos!P18-Datos!Q18)/(Datos!R18-Datos!P18+Datos!Q18)),(Datos!P18-Datos!Q18)/(Datos!R18-Datos!P18+Datos!Q18)," - ")</f>
        <v>-2.1929824561403508E-2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1642</v>
      </c>
      <c r="G19" s="824">
        <f t="shared" si="13"/>
        <v>1888</v>
      </c>
      <c r="H19" s="823">
        <f t="shared" si="13"/>
        <v>0</v>
      </c>
      <c r="I19" s="825">
        <f t="shared" si="13"/>
        <v>0</v>
      </c>
      <c r="J19" s="825">
        <f t="shared" si="13"/>
        <v>0</v>
      </c>
      <c r="K19" s="884">
        <f t="shared" si="13"/>
        <v>0</v>
      </c>
      <c r="L19" s="825">
        <f t="shared" si="13"/>
        <v>507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1289</v>
      </c>
      <c r="X19" s="824">
        <f t="shared" si="14"/>
        <v>223</v>
      </c>
      <c r="Y19" s="831">
        <f t="shared" si="14"/>
        <v>1423</v>
      </c>
      <c r="Z19" s="831">
        <f t="shared" si="14"/>
        <v>0</v>
      </c>
      <c r="AA19" s="831">
        <f t="shared" si="14"/>
        <v>2088</v>
      </c>
      <c r="AB19" s="831">
        <f t="shared" si="14"/>
        <v>4985</v>
      </c>
      <c r="AC19" s="831">
        <f t="shared" si="14"/>
        <v>2355</v>
      </c>
      <c r="AD19" s="831">
        <f t="shared" si="14"/>
        <v>0</v>
      </c>
      <c r="AE19" s="833">
        <f t="shared" si="14"/>
        <v>0</v>
      </c>
      <c r="AF19" s="834">
        <f t="shared" si="14"/>
        <v>0</v>
      </c>
      <c r="AG19" s="835">
        <f t="shared" si="14"/>
        <v>0</v>
      </c>
      <c r="AH19" s="833">
        <f t="shared" si="14"/>
        <v>0</v>
      </c>
      <c r="AI19" s="823">
        <f t="shared" si="14"/>
        <v>768</v>
      </c>
      <c r="AJ19" s="823">
        <f t="shared" si="14"/>
        <v>0</v>
      </c>
      <c r="AK19" s="833">
        <f t="shared" si="14"/>
        <v>0</v>
      </c>
      <c r="AL19" s="887">
        <f>IF(ISNUMBER(NºAsuntos!G19/NºAsuntos!E19),NºAsuntos!G19/NºAsuntos!E19," - ")</f>
        <v>0.89204393249397262</v>
      </c>
      <c r="AM19" s="888">
        <f>IF(ISNUMBER(((NºAsuntos!I19/NºAsuntos!G19)*11)/factor_trimestre),((NºAsuntos!I19/NºAsuntos!G19)*11)/factor_trimestre," - ")</f>
        <v>4.9990990990990998</v>
      </c>
      <c r="AN19" s="888">
        <f>IF(ISNUMBER('Resol  Asuntos'!D19/NºAsuntos!G19),'Resol  Asuntos'!D19/NºAsuntos!G19," - ")</f>
        <v>0.23063063063063063</v>
      </c>
      <c r="AO19" s="889">
        <f>IF(ISNUMBER((NºAsuntos!C19+NºAsuntos!E19)/NºAsuntos!G19),(NºAsuntos!C19+NºAsuntos!E19)/NºAsuntos!G19," - ")</f>
        <v>2.7003003003003001</v>
      </c>
      <c r="AP19" s="890" t="str">
        <f t="shared" si="2"/>
        <v xml:space="preserve"> - </v>
      </c>
      <c r="AQ19" s="891">
        <f>IF(OR(ISNUMBER(FIND("01",Criterios!A8,1)),ISNUMBER(FIND("02",Criterios!A8,1)),ISNUMBER(FIND("03",Criterios!A8,1)),ISNUMBER(FIND("04",Criterios!A8,1))),(I19-W19+K19)/(F19-K19),(H19-W19+K19)/(F19-K19))</f>
        <v>-0.78501827040194883</v>
      </c>
      <c r="AR19" s="892">
        <f>IF(ISNUMBER((Datos!P19-Datos!Q19)/(Datos!R19-Datos!P19+Datos!Q19)),(Datos!P19-Datos!Q19)/(Datos!R19-Datos!P19+Datos!Q19)," - ")</f>
        <v>6.0412678153584344E-2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755.2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2.2236106773543889</v>
      </c>
      <c r="F21" s="255">
        <f>IF(ISNUMBER(STDEV(F8:F18)),STDEV(F8:F18),"-")</f>
        <v>924.9151312417805</v>
      </c>
      <c r="G21" s="256">
        <f>IF(ISNUMBER(STDEV(G8:G18)),STDEV(G8:G18),"-")</f>
        <v>932.53696977653385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655.43596178421581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273.96934135045109</v>
      </c>
      <c r="AJ21" s="255">
        <f t="shared" si="18"/>
        <v>0</v>
      </c>
      <c r="AK21" s="257">
        <f t="shared" si="18"/>
        <v>0</v>
      </c>
      <c r="AL21" s="252">
        <f t="shared" si="18"/>
        <v>9.8561603674160683E-2</v>
      </c>
      <c r="AM21" s="253">
        <f t="shared" si="18"/>
        <v>0.94891908962661353</v>
      </c>
      <c r="AN21" s="253">
        <f t="shared" si="18"/>
        <v>0.13091249947835523</v>
      </c>
      <c r="AO21" s="254">
        <f t="shared" si="18"/>
        <v>0.39517911032613579</v>
      </c>
      <c r="AP21" s="294" t="str">
        <f t="shared" si="18"/>
        <v>-</v>
      </c>
      <c r="AQ21" s="295">
        <f t="shared" si="18"/>
        <v>9.6649552027779001E-2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jbXP/K0TG43lnqAPrH6RZWlV8vgiOfEqzY7PsbAR4TulBxazFhVLVuEIxscFiua4iuM1kxY2DP0DnVFY0/Rvw==" saltValue="wW8klKXYzamSe+BYzSCY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PONFERRADA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5.2631578947368418E-2</v>
      </c>
      <c r="E10" s="351">
        <f>IF(ISNUMBER((Datos!J10-Datos!T10)/Datos!T10),(Datos!J10-Datos!T10)/Datos!T10," - ")</f>
        <v>-0.15</v>
      </c>
      <c r="F10" s="351">
        <f>IF(ISNUMBER((Datos!K10-Datos!U10)/Datos!U10),(Datos!K10-Datos!U10)/Datos!U10," - ")</f>
        <v>0.18181818181818182</v>
      </c>
      <c r="G10" s="352">
        <f>IF(ISNUMBER((Datos!L10-Datos!V10)/Datos!V10),(Datos!L10-Datos!V10)/Datos!V10," - ")</f>
        <v>-0.14285714285714285</v>
      </c>
      <c r="H10" s="233">
        <f>IF(ISNUMBER((Datos!M10-Datos!W10)/Datos!W10),(Datos!M10-Datos!W10)/Datos!W10," - ")</f>
        <v>-0.14285714285714285</v>
      </c>
      <c r="I10" s="353">
        <f>IF(ISNUMBER((Tasas!C10-Datos!BE10)/Datos!BE10),(Tasas!C10-Datos!BE10)/Datos!BE10," - ")</f>
        <v>-0.27472527472527469</v>
      </c>
      <c r="J10" s="352">
        <f>IF(ISNUMBER((Tasas!D10-Datos!BF10)/Datos!BF10),(Tasas!D10-Datos!BF10)/Datos!BF10," - ")</f>
        <v>-0.27472527472527469</v>
      </c>
      <c r="K10" s="354">
        <f>IF(ISNUMBER((Tasas!E10-Datos!BG10)/Datos!BG10),(Tasas!E10-Datos!BG10)/Datos!BG10," - ")</f>
        <v>-0.19723865877712027</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85</v>
      </c>
      <c r="I13" s="360">
        <f>IF(ISNUMBER((Tasas!C13-Datos!BE13)/Datos!BE13),(Tasas!C13-Datos!BE13)/Datos!BE13," - ")</f>
        <v>-0.33344345527889829</v>
      </c>
      <c r="J13" s="358">
        <f>IF(ISNUMBER((Tasas!D13-Datos!BF13)/Datos!BF13),(Tasas!D13-Datos!BF13)/Datos!BF13," - ")</f>
        <v>-0.53943524829600786</v>
      </c>
      <c r="K13" s="361">
        <f>IF(ISNUMBER((Tasas!E13-Datos!BG13)/Datos!BG13),(Tasas!E13-Datos!BG13)/Datos!BG13," - ")</f>
        <v>-0.23390257908271539</v>
      </c>
      <c r="M13" t="e">
        <f>IF(Monitorios="SI",Datos!CE13,0)</f>
        <v>#REF!</v>
      </c>
      <c r="N13" t="e">
        <f>IF(Monitorios="SI",Datos!CF13,0)</f>
        <v>#REF!</v>
      </c>
      <c r="O13" t="e">
        <f>IF(Monitorios="SI",Datos!CG13,0)</f>
        <v>#REF!</v>
      </c>
      <c r="P13" t="e">
        <f>IF(Monitorios="SI",Datos!CH13,0)</f>
        <v>#REF!</v>
      </c>
      <c r="Q13">
        <f>IF(J_V="SI",0,Datos!AG13)</f>
        <v>0</v>
      </c>
      <c r="R13">
        <f>IF(J_V="SI",0,Datos!AH13)</f>
        <v>0</v>
      </c>
      <c r="S13">
        <f>IF(J_V="SI",0,Datos!AI13)</f>
        <v>0</v>
      </c>
      <c r="T13">
        <f>IF(J_V="SI",0,Datos!AJ13)</f>
        <v>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1.2558139534883721</v>
      </c>
      <c r="E17" s="351">
        <f>IF(ISNUMBER(
   IF(D_I="SI",(Datos!J17-Datos!T17)/Datos!T17,(Datos!J17+Datos!AD17-(Datos!T17+Datos!AL17))/(Datos!T17+Datos!AL17))
     ),IF(D_I="SI",(Datos!J17-Datos!T17)/Datos!T17,(Datos!J17+Datos!AD17-(Datos!T17+Datos!AL17))/(Datos!T17+Datos!AL17))," - ")</f>
        <v>0.14285714285714285</v>
      </c>
      <c r="F17" s="351">
        <f>IF(ISNUMBER(
   IF(D_I="SI",(Datos!K17-Datos!U17)/Datos!U17,(Datos!K17+Datos!AE17-(Datos!U17+Datos!AM17))/(Datos!U17+Datos!AM17))
     ),IF(D_I="SI",(Datos!K17-Datos!U17)/Datos!U17,(Datos!K17+Datos!AE17-(Datos!U17+Datos!AM17))/(Datos!U17+Datos!AM17))," - ")</f>
        <v>-3.2967032967032968E-2</v>
      </c>
      <c r="G17" s="352">
        <f>IF(ISNUMBER(
   IF(D_I="SI",(Datos!L17-Datos!V17)/Datos!V17,(Datos!L17+Datos!AF17-(Datos!V17+Datos!AN17))/(Datos!V17+Datos!AN17))
     ),IF(D_I="SI",(Datos!L17-Datos!V17)/Datos!V17,(Datos!L17+Datos!AF17-(Datos!V17+Datos!AN17))/(Datos!V17+Datos!AN17))," - ")</f>
        <v>0.99065420560747663</v>
      </c>
      <c r="H17" s="233">
        <f>IF(ISNUMBER((Datos!M17-Datos!W17)/Datos!W17),(Datos!M17-Datos!W17)/Datos!W17," - ")</f>
        <v>-0.33333333333333331</v>
      </c>
      <c r="I17" s="353">
        <f>IF(ISNUMBER((Tasas!C17-Datos!BE17)/Datos!BE17),(Tasas!C17-Datos!BE17)/Datos!BE17," - ")</f>
        <v>1.0585174171622769</v>
      </c>
      <c r="J17" s="352">
        <f>IF(ISNUMBER((Tasas!D17-Datos!BF17)/Datos!BF17),(Tasas!D17-Datos!BF17)/Datos!BF17," - ")</f>
        <v>-0.31060606060606066</v>
      </c>
      <c r="K17" s="354">
        <f>IF(ISNUMBER((Tasas!E17-Datos!BG17)/Datos!BG17),(Tasas!E17-Datos!BG17)/Datos!BG17," - ")</f>
        <v>0.68170339761248866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20.720930232558139</v>
      </c>
      <c r="E18" s="357">
        <f>IF(ISNUMBER(
   IF(D_I="SI",(Datos!J18-Datos!T18)/Datos!T18,(Datos!J18+Datos!AD18-(Datos!T18+Datos!AL18))/(Datos!T18+Datos!AL18))
     ),IF(D_I="SI",(Datos!J18-Datos!T18)/Datos!T18,(Datos!J18+Datos!AD18-(Datos!T18+Datos!AL18))/(Datos!T18+Datos!AL18))," - ")</f>
        <v>12.794642857142858</v>
      </c>
      <c r="F18" s="357">
        <f>IF(ISNUMBER(
   IF(D_I="SI",(Datos!K18-Datos!U18)/Datos!U18,(Datos!K18+Datos!AE18-(Datos!U18+Datos!AM18))/(Datos!U18+Datos!AM18))
     ),IF(D_I="SI",(Datos!K18-Datos!U18)/Datos!U18,(Datos!K18+Datos!AE18-(Datos!U18+Datos!AM18))/(Datos!U18+Datos!AM18))," - ")</f>
        <v>13.021978021978022</v>
      </c>
      <c r="G18" s="358">
        <f>IF(ISNUMBER(
   IF(D_I="SI",(Datos!L18-Datos!V18)/Datos!V18,(Datos!L18+Datos!AF18-(Datos!V18+Datos!AN18))/(Datos!V18+Datos!AN18))
     ),IF(D_I="SI",(Datos!L18-Datos!V18)/Datos!V18,(Datos!L18+Datos!AF18-(Datos!V18+Datos!AN18))/(Datos!V18+Datos!AN18))," - ")</f>
        <v>18.289719626168225</v>
      </c>
      <c r="H18" s="359">
        <f>IF(ISNUMBER((Datos!M18-Datos!W18)/Datos!W18),(Datos!M18-Datos!W18)/Datos!W18," - ")</f>
        <v>6.9047619047619051</v>
      </c>
      <c r="I18" s="360">
        <f>IF(ISNUMBER((Tasas!C18-Datos!BE18)/Datos!BE18),(Tasas!C18-Datos!BE18)/Datos!BE18," - ")</f>
        <v>0.37567749685055513</v>
      </c>
      <c r="J18" s="358">
        <f>IF(ISNUMBER((Tasas!D18-Datos!BF18)/Datos!BF18),(Tasas!D18-Datos!BF18)/Datos!BF18," - ")</f>
        <v>-0.43625914315569486</v>
      </c>
      <c r="K18" s="361">
        <f>IF(ISNUMBER((Tasas!E18-Datos!BG18)/Datos!BG18),(Tasas!E18-Datos!BG18)/Datos!BG18," - ")</f>
        <v>0.22931113644279802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49.085714285714289</v>
      </c>
      <c r="E19" s="366">
        <f>IF(ISNUMBER(
   IF(J_V="SI",(Datos!J19-Datos!T19)/Datos!T19,(Datos!J19+Datos!Z19-(Datos!T19+Datos!AH19))/(Datos!T19+Datos!AH19))
     ),IF(J_V="SI",(Datos!J19-Datos!T19)/Datos!T19,(Datos!J19+Datos!Z19-(Datos!T19+Datos!AH19))/(Datos!T19+Datos!AH19))," - ")</f>
        <v>27.280303030303031</v>
      </c>
      <c r="F19" s="366">
        <f>IF(ISNUMBER(
   IF(J_V="SI",(Datos!K19-Datos!U19)/Datos!U19,(Datos!K19+Datos!AA19-(Datos!U19+Datos!AI19))/(Datos!U19+Datos!AI19))
     ),IF(J_V="SI",(Datos!K19-Datos!U19)/Datos!U19,(Datos!K19+Datos!AA19-(Datos!U19+Datos!AI19))/(Datos!U19+Datos!AI19))," - ")</f>
        <v>31.647058823529413</v>
      </c>
      <c r="G19" s="367">
        <f>IF(ISNUMBER(
   IF(J_V="SI",(Datos!L19-Datos!V19)/Datos!V19,(Datos!L19+Datos!AB19-(Datos!V19+Datos!AJ19))/(Datos!V19+Datos!AJ19))
     ),IF(J_V="SI",(Datos!L19-Datos!V19)/Datos!V19,(Datos!L19+Datos!AB19-(Datos!V19+Datos!AJ19))/(Datos!V19+Datos!AJ19))," - ")</f>
        <v>40.103703703703701</v>
      </c>
      <c r="H19" s="368">
        <f>IF(ISNUMBER((Datos!M19-Datos!W19)/Datos!W19),(Datos!M19-Datos!W19)/Datos!W19," - ")</f>
        <v>26.428571428571427</v>
      </c>
      <c r="I19" s="365">
        <f>IF(ISNUMBER((Tasas!C19-Datos!BE19)/Datos!BE19),(Tasas!C19-Datos!BE19)/Datos!BE19," - ")</f>
        <v>0.25903236569903243</v>
      </c>
      <c r="J19" s="366">
        <f>IF(ISNUMBER((Tasas!D19-Datos!BF19)/Datos!BF19),(Tasas!D19-Datos!BF19)/Datos!BF19," - ")</f>
        <v>-0.1598455598455599</v>
      </c>
      <c r="K19" s="367">
        <f>IF(ISNUMBER((Tasas!E19-Datos!BG19)/Datos!BG19),(Tasas!E19-Datos!BG19)/Datos!BG19," - ")</f>
        <v>0.16215455962291389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11.601127594756768</v>
      </c>
      <c r="E21" s="281">
        <f t="shared" si="1"/>
        <v>7.3905032053000985</v>
      </c>
      <c r="F21" s="281">
        <f t="shared" si="1"/>
        <v>7.4760442726192462</v>
      </c>
      <c r="G21" s="282">
        <f t="shared" si="1"/>
        <v>10.330395271140018</v>
      </c>
      <c r="H21" s="288">
        <f t="shared" si="1"/>
        <v>41.56525527355943</v>
      </c>
      <c r="I21" s="280">
        <f t="shared" si="1"/>
        <v>0.65260284102712585</v>
      </c>
      <c r="J21" s="281">
        <f t="shared" si="1"/>
        <v>0.12119158198156377</v>
      </c>
      <c r="K21" s="282">
        <f t="shared" si="1"/>
        <v>0.42947527267991797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MWg0eTj7tHpF0H+QnnlUgHE4TreNCBvJ5q3f1/pjY8heCCiSzyuKMar/WlcIVI5ta1smclDv80Ochu8PLvzpkw==" saltValue="e5HqWV3tvmXAGT8PfhNs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